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lalam\AppData\Local\Microsoft\Windows\INetCache\Content.Outlook\X4WKJU6V\"/>
    </mc:Choice>
  </mc:AlternateContent>
  <bookViews>
    <workbookView xWindow="0" yWindow="0" windowWidth="23040" windowHeight="9384"/>
  </bookViews>
  <sheets>
    <sheet name="Capexx" sheetId="2" r:id="rId1"/>
    <sheet name="Opex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D46" i="2"/>
  <c r="D95" i="2" l="1"/>
  <c r="L95" i="2" s="1"/>
  <c r="K124" i="2" l="1"/>
  <c r="J124" i="2"/>
  <c r="I124" i="2"/>
  <c r="G124" i="2"/>
  <c r="F124" i="2"/>
  <c r="E101" i="2"/>
  <c r="E124" i="2" s="1"/>
  <c r="K95" i="2"/>
  <c r="J95" i="2"/>
  <c r="I95" i="2"/>
  <c r="F95" i="2"/>
  <c r="E95" i="2"/>
  <c r="F94" i="2"/>
  <c r="E94" i="2"/>
  <c r="G92" i="2"/>
  <c r="G90" i="2"/>
  <c r="F90" i="2"/>
  <c r="G83" i="2"/>
  <c r="F83" i="2"/>
  <c r="E83" i="2"/>
  <c r="F81" i="2"/>
  <c r="E81" i="2"/>
  <c r="F80" i="2"/>
  <c r="E80" i="2"/>
  <c r="F79" i="2"/>
  <c r="G78" i="2"/>
  <c r="F77" i="2"/>
  <c r="E77" i="2"/>
  <c r="G73" i="2"/>
  <c r="F73" i="2"/>
  <c r="E73" i="2"/>
  <c r="G48" i="2"/>
  <c r="K41" i="2"/>
  <c r="J41" i="2"/>
  <c r="I41" i="2"/>
  <c r="G40" i="2"/>
  <c r="F40" i="2"/>
  <c r="E40" i="2"/>
  <c r="F37" i="2"/>
  <c r="E37" i="2"/>
  <c r="E34" i="2"/>
  <c r="E33" i="2"/>
  <c r="G32" i="2"/>
  <c r="G31" i="2"/>
  <c r="F31" i="2"/>
  <c r="F30" i="2"/>
  <c r="E30" i="2"/>
  <c r="E28" i="2"/>
  <c r="G22" i="2"/>
  <c r="F22" i="2"/>
  <c r="E22" i="2"/>
  <c r="G21" i="2"/>
  <c r="F21" i="2"/>
  <c r="E21" i="2"/>
  <c r="G20" i="2"/>
  <c r="F20" i="2"/>
  <c r="G19" i="2"/>
  <c r="F19" i="2"/>
  <c r="E19" i="2"/>
  <c r="G18" i="2"/>
  <c r="F18" i="2"/>
  <c r="E18" i="2"/>
  <c r="F17" i="2"/>
  <c r="E17" i="2"/>
  <c r="F16" i="2"/>
  <c r="E16" i="2"/>
  <c r="G14" i="2"/>
  <c r="F14" i="2"/>
  <c r="E14" i="2"/>
  <c r="F13" i="2"/>
  <c r="E13" i="2"/>
  <c r="G12" i="2"/>
  <c r="F12" i="2"/>
  <c r="E12" i="2"/>
  <c r="G11" i="2"/>
  <c r="F11" i="2"/>
  <c r="E11" i="2"/>
  <c r="G41" i="2" l="1"/>
  <c r="E41" i="2"/>
  <c r="G23" i="2"/>
  <c r="E23" i="2"/>
  <c r="F23" i="2"/>
  <c r="F41" i="2"/>
  <c r="D124" i="2"/>
  <c r="H26" i="2"/>
  <c r="C368" i="3" l="1"/>
  <c r="E367" i="3"/>
  <c r="F367" i="3" s="1"/>
  <c r="E366" i="3"/>
  <c r="F366" i="3" s="1"/>
  <c r="E365" i="3"/>
  <c r="F365" i="3" s="1"/>
  <c r="E364" i="3"/>
  <c r="F364" i="3" s="1"/>
  <c r="E363" i="3"/>
  <c r="E362" i="3"/>
  <c r="F362" i="3" s="1"/>
  <c r="F361" i="3"/>
  <c r="D360" i="3"/>
  <c r="E360" i="3" s="1"/>
  <c r="F360" i="3" s="1"/>
  <c r="E359" i="3"/>
  <c r="F359" i="3" s="1"/>
  <c r="D358" i="3"/>
  <c r="E358" i="3" s="1"/>
  <c r="F358" i="3" s="1"/>
  <c r="D357" i="3"/>
  <c r="E357" i="3" s="1"/>
  <c r="F357" i="3" s="1"/>
  <c r="E356" i="3"/>
  <c r="F356" i="3" s="1"/>
  <c r="E355" i="3"/>
  <c r="F355" i="3" s="1"/>
  <c r="E354" i="3"/>
  <c r="F354" i="3" s="1"/>
  <c r="D353" i="3"/>
  <c r="E353" i="3" s="1"/>
  <c r="F353" i="3" s="1"/>
  <c r="E352" i="3"/>
  <c r="F352" i="3" s="1"/>
  <c r="E351" i="3"/>
  <c r="F351" i="3" s="1"/>
  <c r="D350" i="3"/>
  <c r="E350" i="3" s="1"/>
  <c r="F350" i="3" s="1"/>
  <c r="E349" i="3"/>
  <c r="F349" i="3" s="1"/>
  <c r="E348" i="3"/>
  <c r="F348" i="3" s="1"/>
  <c r="E346" i="3"/>
  <c r="E345" i="3"/>
  <c r="F345" i="3" s="1"/>
  <c r="D344" i="3"/>
  <c r="E344" i="3" s="1"/>
  <c r="F344" i="3" s="1"/>
  <c r="D343" i="3"/>
  <c r="E343" i="3" s="1"/>
  <c r="F343" i="3" s="1"/>
  <c r="D342" i="3"/>
  <c r="E342" i="3" s="1"/>
  <c r="F342" i="3" s="1"/>
  <c r="D341" i="3"/>
  <c r="E341" i="3" s="1"/>
  <c r="F341" i="3" s="1"/>
  <c r="D340" i="3"/>
  <c r="E340" i="3" s="1"/>
  <c r="F340" i="3" s="1"/>
  <c r="D339" i="3"/>
  <c r="E339" i="3" s="1"/>
  <c r="F339" i="3" s="1"/>
  <c r="D338" i="3"/>
  <c r="E338" i="3" s="1"/>
  <c r="F338" i="3" s="1"/>
  <c r="D337" i="3"/>
  <c r="E337" i="3" s="1"/>
  <c r="F337" i="3" s="1"/>
  <c r="D336" i="3"/>
  <c r="E336" i="3" s="1"/>
  <c r="F336" i="3" s="1"/>
  <c r="D335" i="3"/>
  <c r="E335" i="3" s="1"/>
  <c r="F335" i="3" s="1"/>
  <c r="D334" i="3"/>
  <c r="E334" i="3" s="1"/>
  <c r="F334" i="3" s="1"/>
  <c r="D333" i="3"/>
  <c r="E333" i="3" s="1"/>
  <c r="F333" i="3" s="1"/>
  <c r="D332" i="3"/>
  <c r="E332" i="3" s="1"/>
  <c r="F332" i="3" s="1"/>
  <c r="D331" i="3"/>
  <c r="E331" i="3" s="1"/>
  <c r="F331" i="3" s="1"/>
  <c r="D330" i="3"/>
  <c r="E330" i="3" s="1"/>
  <c r="F330" i="3" s="1"/>
  <c r="D329" i="3"/>
  <c r="E329" i="3" s="1"/>
  <c r="C327" i="3"/>
  <c r="D326" i="3"/>
  <c r="D327" i="3" s="1"/>
  <c r="C324" i="3"/>
  <c r="D323" i="3"/>
  <c r="E323" i="3" s="1"/>
  <c r="F323" i="3" s="1"/>
  <c r="E322" i="3"/>
  <c r="F322" i="3" s="1"/>
  <c r="D321" i="3"/>
  <c r="E321" i="3" s="1"/>
  <c r="F321" i="3" s="1"/>
  <c r="D320" i="3"/>
  <c r="E320" i="3" s="1"/>
  <c r="F320" i="3" s="1"/>
  <c r="E319" i="3"/>
  <c r="F319" i="3" s="1"/>
  <c r="D318" i="3"/>
  <c r="E318" i="3" s="1"/>
  <c r="F318" i="3" s="1"/>
  <c r="E317" i="3"/>
  <c r="F317" i="3" s="1"/>
  <c r="E316" i="3"/>
  <c r="F316" i="3" s="1"/>
  <c r="D315" i="3"/>
  <c r="E315" i="3" s="1"/>
  <c r="F315" i="3" s="1"/>
  <c r="E314" i="3"/>
  <c r="F314" i="3" s="1"/>
  <c r="D313" i="3"/>
  <c r="E313" i="3" s="1"/>
  <c r="F313" i="3" s="1"/>
  <c r="E312" i="3"/>
  <c r="F312" i="3" s="1"/>
  <c r="D311" i="3"/>
  <c r="E311" i="3" s="1"/>
  <c r="F311" i="3" s="1"/>
  <c r="E310" i="3"/>
  <c r="F310" i="3" s="1"/>
  <c r="D310" i="3"/>
  <c r="D309" i="3"/>
  <c r="E309" i="3" s="1"/>
  <c r="F309" i="3" s="1"/>
  <c r="D308" i="3"/>
  <c r="E308" i="3" s="1"/>
  <c r="F308" i="3" s="1"/>
  <c r="D307" i="3"/>
  <c r="E307" i="3" s="1"/>
  <c r="F307" i="3" s="1"/>
  <c r="D306" i="3"/>
  <c r="E306" i="3" s="1"/>
  <c r="F306" i="3" s="1"/>
  <c r="D305" i="3"/>
  <c r="E305" i="3" s="1"/>
  <c r="F305" i="3" s="1"/>
  <c r="E304" i="3"/>
  <c r="F304" i="3" s="1"/>
  <c r="E302" i="3"/>
  <c r="F302" i="3" s="1"/>
  <c r="D301" i="3"/>
  <c r="E301" i="3" s="1"/>
  <c r="F301" i="3" s="1"/>
  <c r="D300" i="3"/>
  <c r="E300" i="3" s="1"/>
  <c r="F300" i="3" s="1"/>
  <c r="E299" i="3"/>
  <c r="F299" i="3" s="1"/>
  <c r="E298" i="3"/>
  <c r="F298" i="3" s="1"/>
  <c r="D297" i="3"/>
  <c r="E297" i="3" s="1"/>
  <c r="F297" i="3" s="1"/>
  <c r="D296" i="3"/>
  <c r="E296" i="3" s="1"/>
  <c r="F296" i="3" s="1"/>
  <c r="D295" i="3"/>
  <c r="E295" i="3" s="1"/>
  <c r="F295" i="3" s="1"/>
  <c r="D294" i="3"/>
  <c r="E294" i="3" s="1"/>
  <c r="F294" i="3" s="1"/>
  <c r="D293" i="3"/>
  <c r="E293" i="3" s="1"/>
  <c r="F293" i="3" s="1"/>
  <c r="D292" i="3"/>
  <c r="E292" i="3" s="1"/>
  <c r="F292" i="3" s="1"/>
  <c r="D291" i="3"/>
  <c r="E291" i="3" s="1"/>
  <c r="F291" i="3" s="1"/>
  <c r="D290" i="3"/>
  <c r="E290" i="3" s="1"/>
  <c r="F290" i="3" s="1"/>
  <c r="D289" i="3"/>
  <c r="E289" i="3" s="1"/>
  <c r="F289" i="3" s="1"/>
  <c r="E288" i="3"/>
  <c r="F288" i="3" s="1"/>
  <c r="E287" i="3"/>
  <c r="F287" i="3" s="1"/>
  <c r="D286" i="3"/>
  <c r="E286" i="3" s="1"/>
  <c r="F286" i="3" s="1"/>
  <c r="D285" i="3"/>
  <c r="E285" i="3" s="1"/>
  <c r="F285" i="3" s="1"/>
  <c r="D284" i="3"/>
  <c r="E284" i="3" s="1"/>
  <c r="F284" i="3" s="1"/>
  <c r="D283" i="3"/>
  <c r="E283" i="3" s="1"/>
  <c r="F283" i="3" s="1"/>
  <c r="D282" i="3"/>
  <c r="E282" i="3" s="1"/>
  <c r="F282" i="3" s="1"/>
  <c r="D281" i="3"/>
  <c r="E281" i="3" s="1"/>
  <c r="F281" i="3" s="1"/>
  <c r="D280" i="3"/>
  <c r="E280" i="3" s="1"/>
  <c r="F280" i="3" s="1"/>
  <c r="D279" i="3"/>
  <c r="E279" i="3" s="1"/>
  <c r="F279" i="3" s="1"/>
  <c r="D278" i="3"/>
  <c r="E278" i="3" s="1"/>
  <c r="F278" i="3" s="1"/>
  <c r="D277" i="3"/>
  <c r="E277" i="3" s="1"/>
  <c r="F277" i="3" s="1"/>
  <c r="D276" i="3"/>
  <c r="E276" i="3" s="1"/>
  <c r="F276" i="3" s="1"/>
  <c r="D275" i="3"/>
  <c r="E275" i="3" s="1"/>
  <c r="F275" i="3" s="1"/>
  <c r="D274" i="3"/>
  <c r="E274" i="3" s="1"/>
  <c r="F274" i="3" s="1"/>
  <c r="D273" i="3"/>
  <c r="E273" i="3" s="1"/>
  <c r="F273" i="3" s="1"/>
  <c r="D272" i="3"/>
  <c r="E272" i="3" s="1"/>
  <c r="F272" i="3" s="1"/>
  <c r="D271" i="3"/>
  <c r="E271" i="3" s="1"/>
  <c r="F271" i="3" s="1"/>
  <c r="D270" i="3"/>
  <c r="E270" i="3" s="1"/>
  <c r="F270" i="3" s="1"/>
  <c r="D269" i="3"/>
  <c r="E269" i="3" s="1"/>
  <c r="F269" i="3" s="1"/>
  <c r="D268" i="3"/>
  <c r="E268" i="3" s="1"/>
  <c r="F268" i="3" s="1"/>
  <c r="D267" i="3"/>
  <c r="E267" i="3" s="1"/>
  <c r="F267" i="3" s="1"/>
  <c r="E266" i="3"/>
  <c r="F266" i="3" s="1"/>
  <c r="C264" i="3"/>
  <c r="E261" i="3"/>
  <c r="F261" i="3" s="1"/>
  <c r="E260" i="3"/>
  <c r="F260" i="3" s="1"/>
  <c r="D259" i="3"/>
  <c r="E259" i="3" s="1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G248" i="3"/>
  <c r="H248" i="3" s="1"/>
  <c r="I248" i="3" s="1"/>
  <c r="J248" i="3" s="1"/>
  <c r="K248" i="3" s="1"/>
  <c r="L248" i="3" s="1"/>
  <c r="M248" i="3" s="1"/>
  <c r="D248" i="3"/>
  <c r="E248" i="3" s="1"/>
  <c r="F248" i="3" s="1"/>
  <c r="D247" i="3"/>
  <c r="E247" i="3" s="1"/>
  <c r="F247" i="3" s="1"/>
  <c r="D246" i="3"/>
  <c r="E246" i="3" s="1"/>
  <c r="F246" i="3" s="1"/>
  <c r="D245" i="3"/>
  <c r="E245" i="3" s="1"/>
  <c r="F245" i="3" s="1"/>
  <c r="D244" i="3"/>
  <c r="E244" i="3" s="1"/>
  <c r="F244" i="3" s="1"/>
  <c r="D243" i="3"/>
  <c r="E243" i="3" s="1"/>
  <c r="F243" i="3" s="1"/>
  <c r="D242" i="3"/>
  <c r="E242" i="3" s="1"/>
  <c r="F242" i="3" s="1"/>
  <c r="D241" i="3"/>
  <c r="E241" i="3" s="1"/>
  <c r="F241" i="3" s="1"/>
  <c r="D240" i="3"/>
  <c r="E240" i="3" s="1"/>
  <c r="F240" i="3" s="1"/>
  <c r="D239" i="3"/>
  <c r="E239" i="3" s="1"/>
  <c r="F239" i="3" s="1"/>
  <c r="C237" i="3"/>
  <c r="D236" i="3"/>
  <c r="E236" i="3" s="1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D226" i="3"/>
  <c r="E226" i="3" s="1"/>
  <c r="F226" i="3" s="1"/>
  <c r="E225" i="3"/>
  <c r="F225" i="3" s="1"/>
  <c r="D224" i="3"/>
  <c r="E224" i="3" s="1"/>
  <c r="F224" i="3" s="1"/>
  <c r="E223" i="3"/>
  <c r="F223" i="3" s="1"/>
  <c r="D222" i="3"/>
  <c r="E222" i="3" s="1"/>
  <c r="F222" i="3" s="1"/>
  <c r="D221" i="3"/>
  <c r="E221" i="3" s="1"/>
  <c r="F221" i="3" s="1"/>
  <c r="E220" i="3"/>
  <c r="F220" i="3" s="1"/>
  <c r="D219" i="3"/>
  <c r="E219" i="3" s="1"/>
  <c r="F219" i="3" s="1"/>
  <c r="E218" i="3"/>
  <c r="F218" i="3" s="1"/>
  <c r="E217" i="3"/>
  <c r="F217" i="3" s="1"/>
  <c r="D216" i="3"/>
  <c r="E216" i="3" s="1"/>
  <c r="F216" i="3" s="1"/>
  <c r="E215" i="3"/>
  <c r="F215" i="3" s="1"/>
  <c r="E214" i="3"/>
  <c r="F214" i="3" s="1"/>
  <c r="D213" i="3"/>
  <c r="E213" i="3" s="1"/>
  <c r="F213" i="3" s="1"/>
  <c r="D212" i="3"/>
  <c r="E212" i="3" s="1"/>
  <c r="F212" i="3" s="1"/>
  <c r="D211" i="3"/>
  <c r="E211" i="3" s="1"/>
  <c r="F211" i="3" s="1"/>
  <c r="D210" i="3"/>
  <c r="E210" i="3" s="1"/>
  <c r="F210" i="3" s="1"/>
  <c r="D209" i="3"/>
  <c r="E209" i="3" s="1"/>
  <c r="F209" i="3" s="1"/>
  <c r="D208" i="3"/>
  <c r="E208" i="3" s="1"/>
  <c r="F208" i="3" s="1"/>
  <c r="D207" i="3"/>
  <c r="E207" i="3" s="1"/>
  <c r="F207" i="3" s="1"/>
  <c r="D206" i="3"/>
  <c r="E206" i="3" s="1"/>
  <c r="F206" i="3" s="1"/>
  <c r="D205" i="3"/>
  <c r="E205" i="3" s="1"/>
  <c r="F205" i="3" s="1"/>
  <c r="D204" i="3"/>
  <c r="E204" i="3" s="1"/>
  <c r="F204" i="3" s="1"/>
  <c r="D203" i="3"/>
  <c r="E203" i="3" s="1"/>
  <c r="F203" i="3" s="1"/>
  <c r="D202" i="3"/>
  <c r="E202" i="3" s="1"/>
  <c r="F202" i="3" s="1"/>
  <c r="D201" i="3"/>
  <c r="E201" i="3" s="1"/>
  <c r="F201" i="3" s="1"/>
  <c r="D200" i="3"/>
  <c r="E200" i="3" s="1"/>
  <c r="F200" i="3" s="1"/>
  <c r="D199" i="3"/>
  <c r="E199" i="3" s="1"/>
  <c r="F199" i="3" s="1"/>
  <c r="D198" i="3"/>
  <c r="E198" i="3" s="1"/>
  <c r="F198" i="3" s="1"/>
  <c r="D197" i="3"/>
  <c r="E197" i="3" s="1"/>
  <c r="F197" i="3" s="1"/>
  <c r="D196" i="3"/>
  <c r="E196" i="3" s="1"/>
  <c r="F196" i="3" s="1"/>
  <c r="D195" i="3"/>
  <c r="E195" i="3" s="1"/>
  <c r="F195" i="3" s="1"/>
  <c r="D194" i="3"/>
  <c r="E194" i="3" s="1"/>
  <c r="F194" i="3" s="1"/>
  <c r="D193" i="3"/>
  <c r="E193" i="3" s="1"/>
  <c r="F193" i="3" s="1"/>
  <c r="D192" i="3"/>
  <c r="E192" i="3" s="1"/>
  <c r="F192" i="3" s="1"/>
  <c r="E186" i="3"/>
  <c r="F186" i="3" s="1"/>
  <c r="C184" i="3"/>
  <c r="D183" i="3"/>
  <c r="E183" i="3" s="1"/>
  <c r="F183" i="3" s="1"/>
  <c r="D182" i="3"/>
  <c r="E182" i="3" s="1"/>
  <c r="F182" i="3" s="1"/>
  <c r="D181" i="3"/>
  <c r="E181" i="3" s="1"/>
  <c r="F181" i="3" s="1"/>
  <c r="D180" i="3"/>
  <c r="E180" i="3" s="1"/>
  <c r="F180" i="3" s="1"/>
  <c r="D179" i="3"/>
  <c r="E179" i="3" s="1"/>
  <c r="F179" i="3" s="1"/>
  <c r="D178" i="3"/>
  <c r="E178" i="3" s="1"/>
  <c r="F178" i="3" s="1"/>
  <c r="D177" i="3"/>
  <c r="E177" i="3" s="1"/>
  <c r="F177" i="3" s="1"/>
  <c r="D176" i="3"/>
  <c r="E176" i="3" s="1"/>
  <c r="F176" i="3" s="1"/>
  <c r="E175" i="3"/>
  <c r="F175" i="3" s="1"/>
  <c r="E174" i="3"/>
  <c r="F174" i="3" s="1"/>
  <c r="E173" i="3"/>
  <c r="F173" i="3" s="1"/>
  <c r="E172" i="3"/>
  <c r="F172" i="3" s="1"/>
  <c r="D171" i="3"/>
  <c r="E171" i="3" s="1"/>
  <c r="F171" i="3" s="1"/>
  <c r="E170" i="3"/>
  <c r="F170" i="3" s="1"/>
  <c r="E169" i="3"/>
  <c r="F169" i="3" s="1"/>
  <c r="D168" i="3"/>
  <c r="E168" i="3" s="1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D158" i="3"/>
  <c r="E158" i="3" s="1"/>
  <c r="F158" i="3" s="1"/>
  <c r="D157" i="3"/>
  <c r="E157" i="3" s="1"/>
  <c r="F157" i="3" s="1"/>
  <c r="D156" i="3"/>
  <c r="E156" i="3" s="1"/>
  <c r="F156" i="3" s="1"/>
  <c r="D155" i="3"/>
  <c r="E155" i="3" s="1"/>
  <c r="F155" i="3" s="1"/>
  <c r="D154" i="3"/>
  <c r="E154" i="3" s="1"/>
  <c r="F154" i="3" s="1"/>
  <c r="D153" i="3"/>
  <c r="E153" i="3" s="1"/>
  <c r="F153" i="3" s="1"/>
  <c r="D152" i="3"/>
  <c r="E152" i="3" s="1"/>
  <c r="F152" i="3" s="1"/>
  <c r="D151" i="3"/>
  <c r="E151" i="3" s="1"/>
  <c r="F151" i="3" s="1"/>
  <c r="D150" i="3"/>
  <c r="E150" i="3" s="1"/>
  <c r="F150" i="3" s="1"/>
  <c r="D149" i="3"/>
  <c r="E149" i="3" s="1"/>
  <c r="F149" i="3" s="1"/>
  <c r="D148" i="3"/>
  <c r="E148" i="3" s="1"/>
  <c r="F148" i="3" s="1"/>
  <c r="D147" i="3"/>
  <c r="E147" i="3" s="1"/>
  <c r="F147" i="3" s="1"/>
  <c r="D146" i="3"/>
  <c r="E146" i="3" s="1"/>
  <c r="F146" i="3" s="1"/>
  <c r="D145" i="3"/>
  <c r="E145" i="3" s="1"/>
  <c r="F145" i="3" s="1"/>
  <c r="D144" i="3"/>
  <c r="E144" i="3" s="1"/>
  <c r="F144" i="3" s="1"/>
  <c r="G143" i="3"/>
  <c r="H143" i="3" s="1"/>
  <c r="I143" i="3" s="1"/>
  <c r="J143" i="3" s="1"/>
  <c r="K143" i="3" s="1"/>
  <c r="L143" i="3" s="1"/>
  <c r="M143" i="3" s="1"/>
  <c r="D143" i="3"/>
  <c r="E143" i="3" s="1"/>
  <c r="C141" i="3"/>
  <c r="E140" i="3"/>
  <c r="F140" i="3" s="1"/>
  <c r="D139" i="3"/>
  <c r="E139" i="3" s="1"/>
  <c r="F139" i="3" s="1"/>
  <c r="D138" i="3"/>
  <c r="E138" i="3" s="1"/>
  <c r="F138" i="3" s="1"/>
  <c r="E137" i="3"/>
  <c r="F137" i="3" s="1"/>
  <c r="D136" i="3"/>
  <c r="E136" i="3" s="1"/>
  <c r="F136" i="3" s="1"/>
  <c r="D135" i="3"/>
  <c r="E135" i="3" s="1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D127" i="3"/>
  <c r="E127" i="3" s="1"/>
  <c r="F127" i="3" s="1"/>
  <c r="D126" i="3"/>
  <c r="E126" i="3" s="1"/>
  <c r="F126" i="3" s="1"/>
  <c r="D125" i="3"/>
  <c r="E125" i="3" s="1"/>
  <c r="F125" i="3" s="1"/>
  <c r="D124" i="3"/>
  <c r="E124" i="3" s="1"/>
  <c r="F124" i="3" s="1"/>
  <c r="D123" i="3"/>
  <c r="E123" i="3" s="1"/>
  <c r="F123" i="3" s="1"/>
  <c r="D122" i="3"/>
  <c r="E122" i="3" s="1"/>
  <c r="F122" i="3" s="1"/>
  <c r="D121" i="3"/>
  <c r="E121" i="3" s="1"/>
  <c r="F121" i="3" s="1"/>
  <c r="D120" i="3"/>
  <c r="E120" i="3" s="1"/>
  <c r="F120" i="3" s="1"/>
  <c r="D119" i="3"/>
  <c r="E119" i="3" s="1"/>
  <c r="F119" i="3" s="1"/>
  <c r="D118" i="3"/>
  <c r="E118" i="3" s="1"/>
  <c r="F118" i="3" s="1"/>
  <c r="D117" i="3"/>
  <c r="E117" i="3" s="1"/>
  <c r="F117" i="3" s="1"/>
  <c r="D116" i="3"/>
  <c r="E116" i="3" s="1"/>
  <c r="F116" i="3" s="1"/>
  <c r="D115" i="3"/>
  <c r="E115" i="3" s="1"/>
  <c r="F115" i="3" s="1"/>
  <c r="C113" i="3"/>
  <c r="E112" i="3"/>
  <c r="F112" i="3" s="1"/>
  <c r="D111" i="3"/>
  <c r="E111" i="3" s="1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D102" i="3"/>
  <c r="E102" i="3" s="1"/>
  <c r="F102" i="3" s="1"/>
  <c r="E101" i="3"/>
  <c r="F101" i="3" s="1"/>
  <c r="E100" i="3"/>
  <c r="F100" i="3" s="1"/>
  <c r="D99" i="3"/>
  <c r="E99" i="3" s="1"/>
  <c r="F99" i="3" s="1"/>
  <c r="E98" i="3"/>
  <c r="F98" i="3" s="1"/>
  <c r="D97" i="3"/>
  <c r="E97" i="3" s="1"/>
  <c r="F97" i="3" s="1"/>
  <c r="E96" i="3"/>
  <c r="F96" i="3" s="1"/>
  <c r="D95" i="3"/>
  <c r="E95" i="3" s="1"/>
  <c r="F95" i="3" s="1"/>
  <c r="E94" i="3"/>
  <c r="F94" i="3" s="1"/>
  <c r="E93" i="3"/>
  <c r="F93" i="3" s="1"/>
  <c r="E92" i="3"/>
  <c r="F92" i="3" s="1"/>
  <c r="E91" i="3"/>
  <c r="F91" i="3" s="1"/>
  <c r="D90" i="3"/>
  <c r="E90" i="3" s="1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D79" i="3"/>
  <c r="E79" i="3" s="1"/>
  <c r="F79" i="3" s="1"/>
  <c r="D78" i="3"/>
  <c r="E78" i="3" s="1"/>
  <c r="F78" i="3" s="1"/>
  <c r="D77" i="3"/>
  <c r="E77" i="3" s="1"/>
  <c r="F77" i="3" s="1"/>
  <c r="D76" i="3"/>
  <c r="E76" i="3" s="1"/>
  <c r="F76" i="3" s="1"/>
  <c r="D75" i="3"/>
  <c r="E75" i="3" s="1"/>
  <c r="F75" i="3" s="1"/>
  <c r="D74" i="3"/>
  <c r="E74" i="3" s="1"/>
  <c r="F74" i="3" s="1"/>
  <c r="D73" i="3"/>
  <c r="E73" i="3" s="1"/>
  <c r="F73" i="3" s="1"/>
  <c r="D72" i="3"/>
  <c r="E72" i="3" s="1"/>
  <c r="F72" i="3" s="1"/>
  <c r="D71" i="3"/>
  <c r="E71" i="3" s="1"/>
  <c r="F71" i="3" s="1"/>
  <c r="D70" i="3"/>
  <c r="E70" i="3" s="1"/>
  <c r="F70" i="3" s="1"/>
  <c r="D69" i="3"/>
  <c r="E69" i="3" s="1"/>
  <c r="F69" i="3" s="1"/>
  <c r="D68" i="3"/>
  <c r="E68" i="3" s="1"/>
  <c r="F68" i="3" s="1"/>
  <c r="D67" i="3"/>
  <c r="E67" i="3" s="1"/>
  <c r="F67" i="3" s="1"/>
  <c r="D66" i="3"/>
  <c r="D65" i="3"/>
  <c r="E65" i="3" s="1"/>
  <c r="F65" i="3" s="1"/>
  <c r="D64" i="3"/>
  <c r="E64" i="3" s="1"/>
  <c r="C62" i="3"/>
  <c r="D61" i="3"/>
  <c r="E61" i="3" s="1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D52" i="3"/>
  <c r="E52" i="3" s="1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D41" i="3"/>
  <c r="E41" i="3" s="1"/>
  <c r="F41" i="3" s="1"/>
  <c r="D40" i="3"/>
  <c r="E40" i="3" s="1"/>
  <c r="F40" i="3" s="1"/>
  <c r="D39" i="3"/>
  <c r="E39" i="3" s="1"/>
  <c r="F39" i="3" s="1"/>
  <c r="D38" i="3"/>
  <c r="E38" i="3" s="1"/>
  <c r="F38" i="3" s="1"/>
  <c r="D37" i="3"/>
  <c r="E37" i="3" s="1"/>
  <c r="F37" i="3" s="1"/>
  <c r="D36" i="3"/>
  <c r="E36" i="3" s="1"/>
  <c r="F36" i="3" s="1"/>
  <c r="D35" i="3"/>
  <c r="E35" i="3" s="1"/>
  <c r="F35" i="3" s="1"/>
  <c r="D34" i="3"/>
  <c r="E34" i="3" s="1"/>
  <c r="F34" i="3" s="1"/>
  <c r="D33" i="3"/>
  <c r="E33" i="3" s="1"/>
  <c r="F33" i="3" s="1"/>
  <c r="D32" i="3"/>
  <c r="E32" i="3" s="1"/>
  <c r="F32" i="3" s="1"/>
  <c r="D31" i="3"/>
  <c r="E31" i="3" s="1"/>
  <c r="F31" i="3" s="1"/>
  <c r="D30" i="3"/>
  <c r="E30" i="3" s="1"/>
  <c r="F30" i="3" s="1"/>
  <c r="D29" i="3"/>
  <c r="E29" i="3" s="1"/>
  <c r="F29" i="3" s="1"/>
  <c r="D28" i="3"/>
  <c r="E28" i="3" s="1"/>
  <c r="F28" i="3" s="1"/>
  <c r="D27" i="3"/>
  <c r="E27" i="3" s="1"/>
  <c r="F27" i="3" s="1"/>
  <c r="D26" i="3"/>
  <c r="E26" i="3" s="1"/>
  <c r="F26" i="3" s="1"/>
  <c r="D25" i="3"/>
  <c r="E25" i="3" s="1"/>
  <c r="F25" i="3" s="1"/>
  <c r="D24" i="3"/>
  <c r="E24" i="3" s="1"/>
  <c r="F24" i="3" s="1"/>
  <c r="D23" i="3"/>
  <c r="E23" i="3" s="1"/>
  <c r="F23" i="3" s="1"/>
  <c r="D22" i="3"/>
  <c r="E22" i="3" s="1"/>
  <c r="F22" i="3" s="1"/>
  <c r="D21" i="3"/>
  <c r="E21" i="3" s="1"/>
  <c r="F21" i="3" s="1"/>
  <c r="D20" i="3"/>
  <c r="E20" i="3" s="1"/>
  <c r="F20" i="3" s="1"/>
  <c r="D19" i="3"/>
  <c r="E19" i="3" s="1"/>
  <c r="F19" i="3" s="1"/>
  <c r="D18" i="3"/>
  <c r="E18" i="3" s="1"/>
  <c r="F18" i="3" s="1"/>
  <c r="D17" i="3"/>
  <c r="E17" i="3" s="1"/>
  <c r="F17" i="3" s="1"/>
  <c r="D16" i="3"/>
  <c r="E16" i="3" s="1"/>
  <c r="F16" i="3" s="1"/>
  <c r="D15" i="3"/>
  <c r="E15" i="3" s="1"/>
  <c r="F15" i="3" s="1"/>
  <c r="D14" i="3"/>
  <c r="E14" i="3" s="1"/>
  <c r="F14" i="3" s="1"/>
  <c r="D13" i="3"/>
  <c r="E13" i="3" s="1"/>
  <c r="F13" i="3" s="1"/>
  <c r="D12" i="3"/>
  <c r="E12" i="3" s="1"/>
  <c r="F12" i="3" s="1"/>
  <c r="D11" i="3"/>
  <c r="E11" i="3" s="1"/>
  <c r="F11" i="3" s="1"/>
  <c r="D10" i="3"/>
  <c r="E10" i="3" s="1"/>
  <c r="F10" i="3" s="1"/>
  <c r="D9" i="3"/>
  <c r="E9" i="3" s="1"/>
  <c r="F9" i="3" s="1"/>
  <c r="D8" i="3"/>
  <c r="E8" i="3" s="1"/>
  <c r="F8" i="3" s="1"/>
  <c r="D7" i="3"/>
  <c r="E7" i="3" s="1"/>
  <c r="F7" i="3" s="1"/>
  <c r="D6" i="3"/>
  <c r="E6" i="3" s="1"/>
  <c r="F6" i="3" s="1"/>
  <c r="D5" i="3"/>
  <c r="E326" i="3" l="1"/>
  <c r="E327" i="3" s="1"/>
  <c r="F141" i="3"/>
  <c r="F264" i="3"/>
  <c r="E324" i="3"/>
  <c r="E264" i="3"/>
  <c r="F324" i="3"/>
  <c r="F143" i="3"/>
  <c r="F184" i="3" s="1"/>
  <c r="E184" i="3"/>
  <c r="E141" i="3"/>
  <c r="D113" i="3"/>
  <c r="E66" i="3"/>
  <c r="F66" i="3" s="1"/>
  <c r="D237" i="3"/>
  <c r="F237" i="3"/>
  <c r="D324" i="3"/>
  <c r="D62" i="3"/>
  <c r="E368" i="3"/>
  <c r="F329" i="3"/>
  <c r="F368" i="3" s="1"/>
  <c r="D141" i="3"/>
  <c r="E5" i="3"/>
  <c r="D184" i="3"/>
  <c r="D264" i="3"/>
  <c r="F64" i="3"/>
  <c r="D368" i="3"/>
  <c r="F326" i="3" l="1"/>
  <c r="F327" i="3" s="1"/>
  <c r="E237" i="3"/>
  <c r="E113" i="3"/>
  <c r="F113" i="3"/>
  <c r="F5" i="3"/>
  <c r="F62" i="3" s="1"/>
  <c r="E62" i="3"/>
</calcChain>
</file>

<file path=xl/comments1.xml><?xml version="1.0" encoding="utf-8"?>
<comments xmlns="http://schemas.openxmlformats.org/spreadsheetml/2006/main">
  <authors>
    <author>Koti D. Rankwe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Koti D. Rankwe:</t>
        </r>
        <r>
          <rPr>
            <sz val="9"/>
            <color indexed="81"/>
            <rFont val="Tahoma"/>
            <family val="2"/>
          </rPr>
          <t xml:space="preserve">
TO CONSULT WITH THE DIRECTOR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Koti D. Rankwe: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Seporo  Masemola</author>
    <author>Mathung Matlala</author>
    <author>Vicky Chabedi</author>
  </authors>
  <commentList>
    <comment ref="D303" authorId="0" shapeId="0">
      <text>
        <r>
          <rPr>
            <b/>
            <sz val="9"/>
            <color indexed="81"/>
            <rFont val="Tahoma"/>
            <family val="2"/>
          </rPr>
          <t>Seporo  Masemola:</t>
        </r>
        <r>
          <rPr>
            <sz val="9"/>
            <color indexed="81"/>
            <rFont val="Tahoma"/>
            <family val="2"/>
          </rPr>
          <t xml:space="preserve">
Bunker gears for 124 x R31 000.00 pp=R3844.000.00 for 5yrs once off</t>
        </r>
      </text>
    </comment>
    <comment ref="D304" authorId="0" shapeId="0">
      <text>
        <r>
          <rPr>
            <b/>
            <sz val="9"/>
            <color indexed="81"/>
            <rFont val="Tahoma"/>
            <family val="2"/>
          </rPr>
          <t>Seporo  Masemola:</t>
        </r>
        <r>
          <rPr>
            <sz val="9"/>
            <color indexed="81"/>
            <rFont val="Tahoma"/>
            <family val="2"/>
          </rPr>
          <t xml:space="preserve">
100 000 for Uniform for EHPs</t>
        </r>
      </text>
    </comment>
    <comment ref="D312" authorId="0" shapeId="0">
      <text>
        <r>
          <rPr>
            <b/>
            <sz val="9"/>
            <color indexed="81"/>
            <rFont val="Tahoma"/>
            <family val="2"/>
          </rPr>
          <t>Seporo  Masemola:</t>
        </r>
        <r>
          <rPr>
            <sz val="9"/>
            <color indexed="81"/>
            <rFont val="Tahoma"/>
            <family val="2"/>
          </rPr>
          <t xml:space="preserve">
CSF +5000' EMS extended operations (water)</t>
        </r>
      </text>
    </comment>
    <comment ref="B314" authorId="1" shapeId="0">
      <text>
        <r>
          <rPr>
            <b/>
            <sz val="9"/>
            <color indexed="81"/>
            <rFont val="Tahoma"/>
            <family val="2"/>
          </rPr>
          <t>Mathung Matlala:</t>
        </r>
        <r>
          <rPr>
            <sz val="9"/>
            <color indexed="81"/>
            <rFont val="Tahoma"/>
            <family val="2"/>
          </rPr>
          <t xml:space="preserve">
change name</t>
        </r>
      </text>
    </comment>
    <comment ref="D314" authorId="0" shapeId="0">
      <text>
        <r>
          <rPr>
            <b/>
            <sz val="9"/>
            <color indexed="81"/>
            <rFont val="Tahoma"/>
            <family val="2"/>
          </rPr>
          <t>Seporo  Masemola:</t>
        </r>
        <r>
          <rPr>
            <sz val="9"/>
            <color indexed="81"/>
            <rFont val="Tahoma"/>
            <family val="2"/>
          </rPr>
          <t xml:space="preserve">
IGR Meetings</t>
        </r>
      </text>
    </comment>
    <comment ref="D319" authorId="0" shapeId="0">
      <text>
        <r>
          <rPr>
            <b/>
            <sz val="9"/>
            <color indexed="81"/>
            <rFont val="Tahoma"/>
            <family val="2"/>
          </rPr>
          <t>Seporo  Masemola:</t>
        </r>
        <r>
          <rPr>
            <sz val="9"/>
            <color indexed="81"/>
            <rFont val="Tahoma"/>
            <family val="2"/>
          </rPr>
          <t xml:space="preserve">
22 000 for hydrotesting &amp; calibrations of  EMS + 69 137,38 for SCBAs</t>
        </r>
      </text>
    </comment>
    <comment ref="D347" authorId="2" shapeId="0">
      <text>
        <r>
          <rPr>
            <b/>
            <sz val="9"/>
            <color indexed="81"/>
            <rFont val="Tahoma"/>
            <family val="2"/>
          </rPr>
          <t>Vicky Chabedi:</t>
        </r>
        <r>
          <rPr>
            <sz val="9"/>
            <color indexed="81"/>
            <rFont val="Tahoma"/>
            <family val="2"/>
          </rPr>
          <t xml:space="preserve">
1. Mashcorp - R825 000
2. New Deal Technology - R960 000
3. Fhima Consultancy(Installation of CCVTV and Biometrics) - R4 500 000
4. Open Kindom - R2 100 000
5. Dimension Data  - R900 000</t>
        </r>
      </text>
    </comment>
    <comment ref="D361" authorId="2" shapeId="0">
      <text>
        <r>
          <rPr>
            <b/>
            <sz val="9"/>
            <color indexed="81"/>
            <rFont val="Tahoma"/>
            <family val="2"/>
          </rPr>
          <t>Vicky Chabedi:</t>
        </r>
        <r>
          <rPr>
            <sz val="9"/>
            <color indexed="81"/>
            <rFont val="Tahoma"/>
            <family val="2"/>
          </rPr>
          <t xml:space="preserve">
Purchase of cabinet for new stores.</t>
        </r>
      </text>
    </comment>
    <comment ref="D364" authorId="2" shapeId="0">
      <text>
        <r>
          <rPr>
            <b/>
            <sz val="9"/>
            <color indexed="81"/>
            <rFont val="Tahoma"/>
            <family val="2"/>
          </rPr>
          <t>Vicky Chabedi:</t>
        </r>
        <r>
          <rPr>
            <sz val="9"/>
            <color indexed="81"/>
            <rFont val="Tahoma"/>
            <family val="2"/>
          </rPr>
          <t xml:space="preserve">
Currently the costs is at R950 000 per month.</t>
        </r>
      </text>
    </comment>
    <comment ref="E364" authorId="2" shapeId="0">
      <text>
        <r>
          <rPr>
            <b/>
            <sz val="9"/>
            <color indexed="81"/>
            <rFont val="Tahoma"/>
            <family val="2"/>
          </rPr>
          <t>Vicky Chabedi: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7" authorId="2" shapeId="0">
      <text>
        <r>
          <rPr>
            <b/>
            <sz val="9"/>
            <color indexed="81"/>
            <rFont val="Tahoma"/>
            <family val="2"/>
          </rPr>
          <t>Vicky Chabedi:</t>
        </r>
        <r>
          <rPr>
            <sz val="9"/>
            <color indexed="81"/>
            <rFont val="Tahoma"/>
            <family val="2"/>
          </rPr>
          <t xml:space="preserve">
The cost include new store that was not included on current budget</t>
        </r>
      </text>
    </comment>
  </commentList>
</comments>
</file>

<file path=xl/sharedStrings.xml><?xml version="1.0" encoding="utf-8"?>
<sst xmlns="http://schemas.openxmlformats.org/spreadsheetml/2006/main" count="1724" uniqueCount="697">
  <si>
    <t>Votenumber</t>
  </si>
  <si>
    <t>Description</t>
  </si>
  <si>
    <t>2018/19</t>
  </si>
  <si>
    <t>2019/2020</t>
  </si>
  <si>
    <t>2020/21</t>
  </si>
  <si>
    <t>2021/2022</t>
  </si>
  <si>
    <t>31052110010EQMRCZZHO</t>
  </si>
  <si>
    <t>MS: SAL &amp; ALL: BASIC SALARY &amp; WAGES</t>
  </si>
  <si>
    <t>31052110220EQMRCZZHO</t>
  </si>
  <si>
    <t>MS: ALL - CELLULAR &amp; TELEPHONE</t>
  </si>
  <si>
    <t>31052110260EQMRCZZHO</t>
  </si>
  <si>
    <t>MS: HB &amp; INC: HOUSING BENEFITS</t>
  </si>
  <si>
    <t>31052110320EQMRCZZHO</t>
  </si>
  <si>
    <t>MS: ALL - LEAVE PAY</t>
  </si>
  <si>
    <t>31052110340EQMRCZZHO</t>
  </si>
  <si>
    <t>MS: ALL - TRAVEL OR MOTOR VEHICLE</t>
  </si>
  <si>
    <t>MS: OVERTIME - NON STRUCTURED</t>
  </si>
  <si>
    <t>31052110380EQMRCZZHO</t>
  </si>
  <si>
    <t>MS: OVERTIME - STRUCTURED</t>
  </si>
  <si>
    <t>31052110400EQMRCZZHO</t>
  </si>
  <si>
    <t>MS: PAYMENTS - SHIFT ADD REMUNERATION</t>
  </si>
  <si>
    <t>31052110600EQMRCZZHO</t>
  </si>
  <si>
    <t>MS: SRB - UNIFORM/SPEC/PROTEC CLOTHING</t>
  </si>
  <si>
    <t>31052130010EQMRCZZHO</t>
  </si>
  <si>
    <t>MS: SOC CONTR - BARGAINING COUNCIL</t>
  </si>
  <si>
    <t>31052130010PRMRCZZHO</t>
  </si>
  <si>
    <t>31052130100EQMRCZZHO</t>
  </si>
  <si>
    <t>MS: SOC CONTR - GROUP LIFE INSURANCE</t>
  </si>
  <si>
    <t>31052130200EQMRCZZHO</t>
  </si>
  <si>
    <t>MS: SOC CONTR - MEDICAL</t>
  </si>
  <si>
    <t>31052130300EQMRCZZHO</t>
  </si>
  <si>
    <t>MS: SOC CONTR - PENSION</t>
  </si>
  <si>
    <t>31052130400EQMRCZZHO</t>
  </si>
  <si>
    <t>MS: SOC CONTR - UNEMPLOYMENT INSUR FUND</t>
  </si>
  <si>
    <t>31052142180EQMRCZZHO</t>
  </si>
  <si>
    <t>MS: PRB - OTHER: LEAVE GRATUITY</t>
  </si>
  <si>
    <t>31052142200EQMRCZZHO</t>
  </si>
  <si>
    <t>MS: PRB - OTHER: LONG TERM SERVICE AWARD</t>
  </si>
  <si>
    <t>31052210100EQMRCZZHO</t>
  </si>
  <si>
    <t>SPEAKER: BASIC SALARY</t>
  </si>
  <si>
    <t>31052210120EQMRCZZHO</t>
  </si>
  <si>
    <t>SPEAKER: CELL PHONE ALLOWANCE</t>
  </si>
  <si>
    <t>31052210350EQMRCZZHO</t>
  </si>
  <si>
    <t>WHIP: TRAVELLING ALLOWANCE</t>
  </si>
  <si>
    <t>31052210400EQMRCZZHO</t>
  </si>
  <si>
    <t>WHIP: BASIC SALARY</t>
  </si>
  <si>
    <t>31052210420EQMRCZZHO</t>
  </si>
  <si>
    <t>WHIP: CELL PHONE ALLOWANCE</t>
  </si>
  <si>
    <t>31052210700EQMRCZZHO</t>
  </si>
  <si>
    <t>EXEC MAYOR: BASIC SALARY</t>
  </si>
  <si>
    <t>31052210720EQMRCZZHO</t>
  </si>
  <si>
    <t>EXEC MAYOR: CELL PHONE ALLOWANCE</t>
  </si>
  <si>
    <t>31052211250EQMRCZZHO</t>
  </si>
  <si>
    <t>EXCO: TRAVELLING ALLOWANCE</t>
  </si>
  <si>
    <t>31052211300EQMRCZZHO</t>
  </si>
  <si>
    <t>EXCO: BASIC SALARY</t>
  </si>
  <si>
    <t>31052211320EQMRCZZHO</t>
  </si>
  <si>
    <t>EXCO: CELL PHONE ALLOWANCE</t>
  </si>
  <si>
    <t>31052211550EQMRCZZHO</t>
  </si>
  <si>
    <t>OTH COUNCIL: TRAVELLING ALLOWANCE</t>
  </si>
  <si>
    <t>31052211600EQMRCZZHO</t>
  </si>
  <si>
    <t>OTH COUNCIL: BASIC SALARY</t>
  </si>
  <si>
    <t>31052211620EQMRCZZHO</t>
  </si>
  <si>
    <t>OTH COUNCIL: CELL PHONE ALLOWANCE</t>
  </si>
  <si>
    <t>31052220050EQMRCZZHO</t>
  </si>
  <si>
    <t>SPEAKER: PENSION FUND CONTRIBUTIONS</t>
  </si>
  <si>
    <t>31052220100EQMRCZZHO</t>
  </si>
  <si>
    <t>SPEAKER: MEDICAL AID BENEFITS</t>
  </si>
  <si>
    <t>31052220350EQMRCZZHO</t>
  </si>
  <si>
    <t>WHIP: PENSION FUND CONTRIBUTIONS</t>
  </si>
  <si>
    <t>31052220400EQMRCZZHO</t>
  </si>
  <si>
    <t>WHIP: MEDICAL AID BENEFITS</t>
  </si>
  <si>
    <t>31052220650EQMRCZZHO</t>
  </si>
  <si>
    <t>EXEC MAYOR: PENSION FUND CONTRIBUTIONS</t>
  </si>
  <si>
    <t>31052221250EQMRCZZHO</t>
  </si>
  <si>
    <t>EXCO: PENSION FUND CONTRIBUTIONS</t>
  </si>
  <si>
    <t>31052221300EQMRCZZHO</t>
  </si>
  <si>
    <t>EXCO: MEDICAL AID BENEFITS</t>
  </si>
  <si>
    <t>31052221550EQMRCZZHO</t>
  </si>
  <si>
    <t>OTH COUNCIL: PENSION FUND CONTRIBUTIONS</t>
  </si>
  <si>
    <t>31052260600EQMRCZZHO</t>
  </si>
  <si>
    <t>OS: CATERING SERVICES (MPAC)</t>
  </si>
  <si>
    <t>31052260600EQP06ZZWD</t>
  </si>
  <si>
    <t>OS: CATERING SERVICES (Council Catering)</t>
  </si>
  <si>
    <t>OS: CATERING SERVICES</t>
  </si>
  <si>
    <t>31052260600EQP16ZZWD</t>
  </si>
  <si>
    <t>OS: CATERING SERVICES (Council Activities)</t>
  </si>
  <si>
    <t>31052260600EQP29ZZHO</t>
  </si>
  <si>
    <t>OS: CATERING SERVICES (</t>
  </si>
  <si>
    <t>31052260600EQP66ZZHO</t>
  </si>
  <si>
    <t>31052285430EQP25ZZWD</t>
  </si>
  <si>
    <t>CONTR: STAGE &amp; SOUND CREW</t>
  </si>
  <si>
    <t>31052301610EQMRCZZHO</t>
  </si>
  <si>
    <t>OC: ENTERTAINMENT -  COUNCILLORS</t>
  </si>
  <si>
    <t>31052301870EQP06ZZWD</t>
  </si>
  <si>
    <t>OC: HIRE CHARGES (IGR)</t>
  </si>
  <si>
    <t>31052301870EQP16ZZWD</t>
  </si>
  <si>
    <t>OC: HIRE CHARGES (Council activities)</t>
  </si>
  <si>
    <t>31052301870EQP66ZZHO</t>
  </si>
  <si>
    <t>OC: HIRE CHARGES</t>
  </si>
  <si>
    <t>31052305410EQMRCZZHO</t>
  </si>
  <si>
    <t>OC: SKILLS DEVELOPMENT FUND LEVY</t>
  </si>
  <si>
    <t>31052305760EQMRCZZHO</t>
  </si>
  <si>
    <t>OC: T&amp;S DOM - ACCOMMODATION (Staff)</t>
  </si>
  <si>
    <t>31052305760EQP07ZZHO</t>
  </si>
  <si>
    <t>OC: T&amp;S DOM - ACCOMMODATION (Council Activities)</t>
  </si>
  <si>
    <t>31052305760EQP16ZZWD</t>
  </si>
  <si>
    <t>OC: T&amp;S DOM - ACCOMMODATION (Councillors)</t>
  </si>
  <si>
    <t>31052305810EQP06ZZWD</t>
  </si>
  <si>
    <t>OC: T&amp;S DOM TRP - W/OUT OPR OWN TRANSPRT (Budget Speech)</t>
  </si>
  <si>
    <t>31052305810EQP07ZZHO</t>
  </si>
  <si>
    <t>OC: T&amp;S DOM TRP - W/OUT OPR OWN TRANSPRT (Speakers Outreach)</t>
  </si>
  <si>
    <t>31052305810EQP16ZZWD</t>
  </si>
  <si>
    <t>31052305810EQP25ZZWD</t>
  </si>
  <si>
    <t>OC: T&amp;S DOM TRP - W/OUT OPR OWN TRANSPRT (Support to ward committees)</t>
  </si>
  <si>
    <t>31052305980EQP66ZZHO</t>
  </si>
  <si>
    <t>OC: TRANSPORT - MUNICIPAL ACTIVITIES (Budget Speech)</t>
  </si>
  <si>
    <t>31052516000EQMRCZZHO</t>
  </si>
  <si>
    <t>NAT DPT AGEN - SA SA LOCAL GOVERN ASSOC</t>
  </si>
  <si>
    <t>Executive Mayors Office</t>
  </si>
  <si>
    <t>32052110010EQMRCZZHO</t>
  </si>
  <si>
    <t>32052110220EQMRCZZHO</t>
  </si>
  <si>
    <t>32052110260EQMRCZZHO</t>
  </si>
  <si>
    <t>32052110320EQMRCZZHO</t>
  </si>
  <si>
    <t>32052110340EQMRCZZHO</t>
  </si>
  <si>
    <t>32052110360EQMRCZZHO</t>
  </si>
  <si>
    <t>32052110380EQMRCZZHO</t>
  </si>
  <si>
    <t>32052110400EQMRCZZHO</t>
  </si>
  <si>
    <t>32052110560EQMRCZZHO</t>
  </si>
  <si>
    <t>MS: SRB - STANDBY ALLOWANCE</t>
  </si>
  <si>
    <t>32052110600EQMRCZZHO</t>
  </si>
  <si>
    <t>32052130010EQMRCZZHO</t>
  </si>
  <si>
    <t>32052130100EQMRCZZHO</t>
  </si>
  <si>
    <t>32052130200EQMRCZZHO</t>
  </si>
  <si>
    <t>32052130300EQMRCZZHO</t>
  </si>
  <si>
    <t>32052130400EQMRCZZHO</t>
  </si>
  <si>
    <t>32052142200EQMRCZZHO</t>
  </si>
  <si>
    <t>32052260600EQMRCZZHO</t>
  </si>
  <si>
    <t>32052260600EQP03ZZWD</t>
  </si>
  <si>
    <t>32052260600EQP21ZZWD</t>
  </si>
  <si>
    <t>32052260600EQP29ZZHO</t>
  </si>
  <si>
    <t>32052260600EQP39ZZWD</t>
  </si>
  <si>
    <t>32052260600EQP64ZZHO</t>
  </si>
  <si>
    <t>32052260600EQP69ZZWD</t>
  </si>
  <si>
    <t>32052260600EQP71ZZWD</t>
  </si>
  <si>
    <t>32052260600PRP62ZZWD</t>
  </si>
  <si>
    <t>32052260610EQMRCZZHO</t>
  </si>
  <si>
    <t>OS: CALL CENTRE</t>
  </si>
  <si>
    <t>32052280050EQP39ZZWD</t>
  </si>
  <si>
    <t>CONTR: AUDIO-VISUAL SERVICES</t>
  </si>
  <si>
    <t>32052285430PRP62ZZWD</t>
  </si>
  <si>
    <t>32052300130PRMRCZZHO</t>
  </si>
  <si>
    <t>OC: ADV/PUB/MARK - CUSTOMER/CLIENT INFO</t>
  </si>
  <si>
    <t>32052300150EQMRCZZHO</t>
  </si>
  <si>
    <t>OC: ADV/PUB/MARK - MUNICIPAL NEWSLETTERS</t>
  </si>
  <si>
    <t>32052300180EQMRCZZHO</t>
  </si>
  <si>
    <t>OC: ADV/PUB/MARK - TENDERS</t>
  </si>
  <si>
    <t>32052301600EQMRCZZHO</t>
  </si>
  <si>
    <t>OC: ENTERTAINMENT - MAYOR</t>
  </si>
  <si>
    <t>32052301870EQP03ZZHO</t>
  </si>
  <si>
    <t>32052301870EQP09ZZWD</t>
  </si>
  <si>
    <t>32052301870PRP62ZZWD</t>
  </si>
  <si>
    <t>32052305410EQMRCZZHO</t>
  </si>
  <si>
    <t>32052305760EQMRCZZHO</t>
  </si>
  <si>
    <t>OC: T&amp;S DOM - ACCOMMODATION</t>
  </si>
  <si>
    <t>32052305760EQP11ZZHO</t>
  </si>
  <si>
    <t>32052305770EQMRCZZHO</t>
  </si>
  <si>
    <t>OC: T&amp;S DOM - DAILY ALLOWANCE</t>
  </si>
  <si>
    <t>32052305870EQMRCZZHO</t>
  </si>
  <si>
    <t>OC: T&amp;S FOREIGN - ACCOMMODATION</t>
  </si>
  <si>
    <t>32052305980EQP09ZZHO</t>
  </si>
  <si>
    <t>OC: TRANSPORT - MUNICIPAL ACTIVITIES</t>
  </si>
  <si>
    <t>32052305980EQP21ZZWD</t>
  </si>
  <si>
    <t>32052305980EQP44ZZHO</t>
  </si>
  <si>
    <t>32052305980EQP64ZZHO</t>
  </si>
  <si>
    <t>32052305980EQP71ZZWD</t>
  </si>
  <si>
    <t>32052305980PRP62ZZWD</t>
  </si>
  <si>
    <t>32052381500EQMRCZZHO</t>
  </si>
  <si>
    <t>OPR LEASES: FURNITURE &amp; OFFICE EQUIPMENT</t>
  </si>
  <si>
    <t>32052516290EQMRCZZHO</t>
  </si>
  <si>
    <t>NAT DPT AGEN - INFORMATION TECH AGENCY</t>
  </si>
  <si>
    <t>32052540630EQMRCZZWD</t>
  </si>
  <si>
    <t>HH SSP SOC ASS: OLD AGE GRANT</t>
  </si>
  <si>
    <t>Open/Bal</t>
  </si>
  <si>
    <t>Curr Mth Exp</t>
  </si>
  <si>
    <t>Commitment</t>
  </si>
  <si>
    <t>YTD Movement</t>
  </si>
  <si>
    <t>Close/Bal</t>
  </si>
  <si>
    <t>Unspend Bud</t>
  </si>
  <si>
    <t>Perc</t>
  </si>
  <si>
    <t>%</t>
  </si>
  <si>
    <t>P</t>
  </si>
  <si>
    <t>33051423620EQMRCZZHO</t>
  </si>
  <si>
    <t>MEMBERSHIP FEES</t>
  </si>
  <si>
    <t>33052110010EQMRCZZHO</t>
  </si>
  <si>
    <t>33052110220EQMRCZZHO</t>
  </si>
  <si>
    <t>33052110260EQMRCZZHO</t>
  </si>
  <si>
    <t>33052110320EQMRCZZHO</t>
  </si>
  <si>
    <t>33052110340EQMRCZZHO</t>
  </si>
  <si>
    <t>33052110380EQMRCZZHO</t>
  </si>
  <si>
    <t>33052110560EQMRCZZHO</t>
  </si>
  <si>
    <t>33052130010EQMRCZZHO</t>
  </si>
  <si>
    <t>33052130100EQMRCZZHO</t>
  </si>
  <si>
    <t>33052130200EQMRCZZHO</t>
  </si>
  <si>
    <t>33052130300EQMRCZZHO</t>
  </si>
  <si>
    <t>33052130400EQMRCZZHO</t>
  </si>
  <si>
    <t>PERFORMANCE MANAGEMENT  SYSTEM</t>
  </si>
  <si>
    <t>33052260600EQMRCZZHO</t>
  </si>
  <si>
    <t>33052270320EQMRCZZHO</t>
  </si>
  <si>
    <t>C&amp;PS: B&amp;A AUDIT COMMITTEE</t>
  </si>
  <si>
    <t>33052273340EQMRCZZHO</t>
  </si>
  <si>
    <t>C&amp;PS: LEGAL COST ADVICE &amp; LITIGATION</t>
  </si>
  <si>
    <t>33052285400EQMRCZZHO</t>
  </si>
  <si>
    <t>CONTR: SAFEGUARD &amp; SECURITY</t>
  </si>
  <si>
    <t>33052300200EQMRCZZHO</t>
  </si>
  <si>
    <t>OC: AUDIT COST:  EXTERNAL</t>
  </si>
  <si>
    <t>33052300400EQMRCZZHO</t>
  </si>
  <si>
    <t>OC: BC/FAC/C FEES - BANK ACCOUNTS (Internal Audit)</t>
  </si>
  <si>
    <t>33052301870EQMRCZZWD</t>
  </si>
  <si>
    <t>OC: HIRE CHARGES (municipal admin</t>
  </si>
  <si>
    <t>33052301870EQP65ZZHO</t>
  </si>
  <si>
    <t>OC: HIRE CHARGES (Strategic Events)</t>
  </si>
  <si>
    <t>33052302440EQMRCZZHO</t>
  </si>
  <si>
    <t>OC: INSUR UNDER - EXCESS PAYMENTS</t>
  </si>
  <si>
    <t>33052302460EQMRCZZHO</t>
  </si>
  <si>
    <t>OC: INSUR UNDER - PREMIUMS</t>
  </si>
  <si>
    <t>33052305410EQMRCZZHO</t>
  </si>
  <si>
    <t>33052305760EQMRCZZHO</t>
  </si>
  <si>
    <t>34052030500EQMRCZZHO</t>
  </si>
  <si>
    <t>SM CFO: ALLOW - ACCOM TRAVEL &amp; INCIDENT,</t>
  </si>
  <si>
    <t>34052030550EQMRCZZHO</t>
  </si>
  <si>
    <t>SM CFO: SRB - PAYMENTS IN LIEU OF LEAVE</t>
  </si>
  <si>
    <t>34052110010EQMRCZZHO</t>
  </si>
  <si>
    <t>34052110010FMMRCZZHO</t>
  </si>
  <si>
    <t>34052110010PRMRCZZHO</t>
  </si>
  <si>
    <t>34052110220EQMRCZZHO</t>
  </si>
  <si>
    <t>34052110260EQMRCZZHO</t>
  </si>
  <si>
    <t>34052110320EQMRCZZHO</t>
  </si>
  <si>
    <t>34052110340EQMRCZZHO</t>
  </si>
  <si>
    <t>34052110380EQMRCZZHO</t>
  </si>
  <si>
    <t>34052130010EQMRCZZHO</t>
  </si>
  <si>
    <t>34052130100EQMRCZZHO</t>
  </si>
  <si>
    <t>34052130200EQMRCZZHO</t>
  </si>
  <si>
    <t>34052130300EQMRCZZHO</t>
  </si>
  <si>
    <t>34052130400EQMRCZZHO</t>
  </si>
  <si>
    <t>34052142200EQMRCZZHO</t>
  </si>
  <si>
    <t>34052260310EQP42ZZHO</t>
  </si>
  <si>
    <t>OS: B&amp;A ACCOUNTANTS &amp; AUDITORS</t>
  </si>
  <si>
    <t>34052260380EQP04ZZHO</t>
  </si>
  <si>
    <t>OS: B&amp;A PROJECT MANAGEMENT (SMEC)</t>
  </si>
  <si>
    <t>34052260600EQMRCZZHO</t>
  </si>
  <si>
    <t>34052260600EQP40ZZHO</t>
  </si>
  <si>
    <t>34052270340EQP57ZZHO</t>
  </si>
  <si>
    <t>C&amp;PS: B&amp;A BUSINESS &amp; FIN MANAGEMENT (Revenue</t>
  </si>
  <si>
    <t>34052270400EQP15ZZHO</t>
  </si>
  <si>
    <t>C&amp;PS: B&amp;A ORGANISATIONAL (cost recovery</t>
  </si>
  <si>
    <t>34052270410EQP40ZZHO</t>
  </si>
  <si>
    <t>C&amp;PS: B&amp;A PROJECT MANAGEMENT (Mscoa)</t>
  </si>
  <si>
    <t>34052270440EQMRCZZHO</t>
  </si>
  <si>
    <t>C&amp;PS: B&amp;A QUALITY CONTROL</t>
  </si>
  <si>
    <t>34052270480EQMRCZZHO</t>
  </si>
  <si>
    <t>C&amp;PS: B&amp;A ACTUARIES</t>
  </si>
  <si>
    <t>34052300150FMP23ZZHO</t>
  </si>
  <si>
    <t>OC: ADV/PUB/MARK - MUNICIPAL NEWSLETTERS (FMG)</t>
  </si>
  <si>
    <t>34052300180EQMRCZZHO</t>
  </si>
  <si>
    <t>34052300400EQMRCZZHO</t>
  </si>
  <si>
    <t>OC: BC/FAC/C FEES - BANK ACCOUNTS</t>
  </si>
  <si>
    <t>34052305410EQMRCZZHO</t>
  </si>
  <si>
    <t>34052305760EQMRCZZHO</t>
  </si>
  <si>
    <t>34052320600EQMRCZZHO</t>
  </si>
  <si>
    <t>INV - CONSUMABLE STORES - STANDARD RATED</t>
  </si>
  <si>
    <t>34052362410EQMRCZZHO</t>
  </si>
  <si>
    <t>INT PAID:  BANK OVERDRAFT</t>
  </si>
  <si>
    <t>34052362420EQMRCZZHO</t>
  </si>
  <si>
    <t>INT PAID BOR: ANNUITY LOANS</t>
  </si>
  <si>
    <t>34052721000EQMRCZZHO</t>
  </si>
  <si>
    <t>DEPRECIATION SOLID WASTE LANDFILL SITES</t>
  </si>
  <si>
    <t>34052721200EQMRCZZHO</t>
  </si>
  <si>
    <t>DEPRECIATION WATER SUPPLY DAMS &amp; WEIRS</t>
  </si>
  <si>
    <t>34052723300EQMRCZZHO</t>
  </si>
  <si>
    <t>DEPRECIATION LANDFILL SITES</t>
  </si>
  <si>
    <t>34052728000EQMRCZZHO</t>
  </si>
  <si>
    <t>DEPRECIATION ROADS</t>
  </si>
  <si>
    <t>34052728800EQMRCZZHO</t>
  </si>
  <si>
    <t>DEPRECIATION COMMUNITY HALLS</t>
  </si>
  <si>
    <t>34053200550ZZZZZZZHO</t>
  </si>
  <si>
    <t>PPE COMPUTER EQUIPMENT - GAINS</t>
  </si>
  <si>
    <t>34053500050EQMRCZZHO</t>
  </si>
  <si>
    <t>IL: BIOLOGICAL ASSETS</t>
  </si>
  <si>
    <t>34053500050PRMRCZZHO</t>
  </si>
  <si>
    <t>35052260600EQMRCZZHO</t>
  </si>
  <si>
    <t>35052265410MIP37ZZHO</t>
  </si>
  <si>
    <t>OS: SEWERAGE SERVICES (VIP) MIG</t>
  </si>
  <si>
    <t>35052265410MIP77ZZHO</t>
  </si>
  <si>
    <t>35052265410MIP78ZZHO</t>
  </si>
  <si>
    <t>35052265410MIP79ZZHO</t>
  </si>
  <si>
    <t>35052265410MIP80ZZHO</t>
  </si>
  <si>
    <t>35052301810EQP58ZZHO</t>
  </si>
  <si>
    <t>OC: EXT COM SERV PROV - SYS DEVELOPMENT RRAMS</t>
  </si>
  <si>
    <t>35052320600EQMRCZZHO</t>
  </si>
  <si>
    <t>35052381500EQMRCZZHO</t>
  </si>
  <si>
    <t>35101423620EQMRCZZHO</t>
  </si>
  <si>
    <t>35102110010EQMRCZZ02</t>
  </si>
  <si>
    <t>35102110010EQMRCZZ03</t>
  </si>
  <si>
    <t>35102110010EQMRCZZ05</t>
  </si>
  <si>
    <t>35102110010EQMRCZZHO</t>
  </si>
  <si>
    <t>35102110010EQMRCZZWD</t>
  </si>
  <si>
    <t>35102110260EQMRCZZ02</t>
  </si>
  <si>
    <t>35102110260EQMRCZZ05</t>
  </si>
  <si>
    <t>35102110260EQMRCZZHO</t>
  </si>
  <si>
    <t>35102110260EQMRCZZWD</t>
  </si>
  <si>
    <t>35102110320EQMRCZZHO</t>
  </si>
  <si>
    <t>35102110340EQMRCZZHO</t>
  </si>
  <si>
    <t>35102110360EQMRCZZHO</t>
  </si>
  <si>
    <t>35102130010EQMRCZZHO</t>
  </si>
  <si>
    <t>35102130100EQMRCZZHO</t>
  </si>
  <si>
    <t>35102130200EQMRCZZHO</t>
  </si>
  <si>
    <t>35102130300EQMRCZZHO</t>
  </si>
  <si>
    <t>35102130400EQMRCZZHO</t>
  </si>
  <si>
    <t>35102266400EQMRCZZWD</t>
  </si>
  <si>
    <t>OS: WATER TANKERS</t>
  </si>
  <si>
    <t>35102272460EQMRCZZHO</t>
  </si>
  <si>
    <t>C&amp;PS: I&amp;P ENGINEERING CIVIL (PSP)</t>
  </si>
  <si>
    <t>35102272460EQP49ZZWD</t>
  </si>
  <si>
    <t>C&amp;PS: I&amp;P ENGINEERING CIVIL</t>
  </si>
  <si>
    <t>35102280050WTP29ZZHO</t>
  </si>
  <si>
    <t>CONTR: AUDIO-VISUAL SERVICES (Chemicals)</t>
  </si>
  <si>
    <t>35102280300EQP53ZZWD</t>
  </si>
  <si>
    <t>CONTR: BORE WATERHOLE DRILLING</t>
  </si>
  <si>
    <t>35102284520WTP29ZZHO</t>
  </si>
  <si>
    <t xml:space="preserve"> CONTR: PLANTS FLOWERS &amp; OTH DECORATIONS (intergovermental)</t>
  </si>
  <si>
    <t>35102285410EQP35ZZWD</t>
  </si>
  <si>
    <t>CONTR: SEWERAGE SERVICES</t>
  </si>
  <si>
    <t>35102285410EQP68ZZWD</t>
  </si>
  <si>
    <t>35102303610EQMRCZZWD</t>
  </si>
  <si>
    <t>OC: MUNICIPAL SERVICES (Eskom)</t>
  </si>
  <si>
    <t>35102305410EQMRCZZHO</t>
  </si>
  <si>
    <t>35102305760EQMRCZZHO</t>
  </si>
  <si>
    <t>35102305770EQMRCZZHO</t>
  </si>
  <si>
    <t>35102305980WTP29ZZHO</t>
  </si>
  <si>
    <t>OC: TRANSPORT - MUNICIPAL ACTIVITIES IGR)</t>
  </si>
  <si>
    <t>35102306610WTMRCZZHO</t>
  </si>
  <si>
    <t>OC: WET FUEL</t>
  </si>
  <si>
    <t>35102320600EQP47ZZWD</t>
  </si>
  <si>
    <t>35102320600EQP49ZZWD</t>
  </si>
  <si>
    <t>35102323600EQP35ZZWD</t>
  </si>
  <si>
    <t>INVENTORY - MATERIALS &amp; SUPPLIES</t>
  </si>
  <si>
    <t>35102323600EQP47ZZWD</t>
  </si>
  <si>
    <t>35102323600EQP48ZZWD</t>
  </si>
  <si>
    <t>35102323600EQP49ZZWD</t>
  </si>
  <si>
    <t>35102323600EQP50ZZWD</t>
  </si>
  <si>
    <t>35102323600EQP51ZZWD</t>
  </si>
  <si>
    <t>35102340250EQMRCZZWD</t>
  </si>
  <si>
    <t>BULK WATER PURCHASES</t>
  </si>
  <si>
    <t>36052110010EQMRCZZHO</t>
  </si>
  <si>
    <t>36052110220EQMRCZZHO</t>
  </si>
  <si>
    <t>36052110260EQMRCZZHO</t>
  </si>
  <si>
    <t>36052110320EQMRCZZHO</t>
  </si>
  <si>
    <t>36052110340EQMRCZZHO</t>
  </si>
  <si>
    <t>36052130010EQMRCZZHO</t>
  </si>
  <si>
    <t>36052130100EQMRCZZHO</t>
  </si>
  <si>
    <t>36052130200EQMRCZZHO</t>
  </si>
  <si>
    <t>36052130300EQMRCZZHO</t>
  </si>
  <si>
    <t>36052130400EQMRCZZHO</t>
  </si>
  <si>
    <t>36052260600EQMRCZZHO</t>
  </si>
  <si>
    <t>36052260600EQP27ZZHO</t>
  </si>
  <si>
    <t>OS: CATERING SERVICES (IDP process)</t>
  </si>
  <si>
    <t>36052260600EQP32ZZWD</t>
  </si>
  <si>
    <t>OS: CATERING SERVICES (ESD )</t>
  </si>
  <si>
    <t>36052260600EQP95ZZHO</t>
  </si>
  <si>
    <t>OS: CATERING SERVICES (SMME)</t>
  </si>
  <si>
    <t>36052260600EQP96ZZHO</t>
  </si>
  <si>
    <t xml:space="preserve">OS: CATERING SERVICES (LED </t>
  </si>
  <si>
    <t>36052260600EQP97ZZHO</t>
  </si>
  <si>
    <t>OS: CATERING SERVICES (Economic Development forum)</t>
  </si>
  <si>
    <t>36052260600EQP98ZZHO</t>
  </si>
  <si>
    <t>OS: CATERING SERVICES (LED strategy</t>
  </si>
  <si>
    <t>36052260600EQQ03ZZHO</t>
  </si>
  <si>
    <t>OS: CATERING SERVICES (Feasibility study on marula)</t>
  </si>
  <si>
    <t>36052280050EQP27ZZHO</t>
  </si>
  <si>
    <t>36052300120PRP26ZZHO</t>
  </si>
  <si>
    <t>OC: ADV/PUB/MARK - CORP &amp; MUN ACTIVITIES</t>
  </si>
  <si>
    <t>36052305410EQMRCZZHO</t>
  </si>
  <si>
    <t>36052305760EQP45ZZHO</t>
  </si>
  <si>
    <t>36052305980EQP27ZZHO</t>
  </si>
  <si>
    <t>New</t>
  </si>
  <si>
    <t>LED Support</t>
  </si>
  <si>
    <t>DEVELOP REGIONAL INDUSTRIAL MASTER PLAN</t>
  </si>
  <si>
    <t>37051423620EQMRCZZHO</t>
  </si>
  <si>
    <t>37052110010EQMRCZZ01</t>
  </si>
  <si>
    <t>37052110010EQMRCZZ02</t>
  </si>
  <si>
    <t>37052110010EQMRCZZ03</t>
  </si>
  <si>
    <t>37052110010EQMRCZZ04</t>
  </si>
  <si>
    <t>37052110010EQMRCZZ05</t>
  </si>
  <si>
    <t>37052110010EQMRCZZHO</t>
  </si>
  <si>
    <t>37052110220EQMRCZZHO</t>
  </si>
  <si>
    <t>37052110260EQMRCZZ01</t>
  </si>
  <si>
    <t>37052110260EQMRCZZ02</t>
  </si>
  <si>
    <t>37052110260EQMRCZZ03</t>
  </si>
  <si>
    <t>37052110260EQMRCZZ04</t>
  </si>
  <si>
    <t>37052110260EQMRCZZ05</t>
  </si>
  <si>
    <t>37052110260EQMRCZZHO</t>
  </si>
  <si>
    <t>37052110320EQMRCZZHO</t>
  </si>
  <si>
    <t>37052110340EQMRCZZ01</t>
  </si>
  <si>
    <t>37052110340EQMRCZZ02</t>
  </si>
  <si>
    <t>37052110340EQMRCZZ03</t>
  </si>
  <si>
    <t>37052110340EQMRCZZ04</t>
  </si>
  <si>
    <t>37052110340EQMRCZZ05</t>
  </si>
  <si>
    <t>37052110340EQMRCZZHO</t>
  </si>
  <si>
    <t>37052110360EQMRCZZHO</t>
  </si>
  <si>
    <t>Unifix allowance</t>
  </si>
  <si>
    <t>37052110380EQMRCZZ01</t>
  </si>
  <si>
    <t>37052110380EQMRCZZ02</t>
  </si>
  <si>
    <t>37052110380EQMRCZZ03</t>
  </si>
  <si>
    <t>37052110380EQMRCZZ05</t>
  </si>
  <si>
    <t>37052110380EQMRCZZHO</t>
  </si>
  <si>
    <t>37052110400EQMRCZZ01</t>
  </si>
  <si>
    <t>37052110400EQMRCZZ02</t>
  </si>
  <si>
    <t>37052110400EQMRCZZ03</t>
  </si>
  <si>
    <t>37052110400EQMRCZZ05</t>
  </si>
  <si>
    <t>37052110400EQMRCZZHO</t>
  </si>
  <si>
    <t>37052110560EQMRCZZ01</t>
  </si>
  <si>
    <t xml:space="preserve">MS: SRB - STANDBY ALLOWANCE Sunday work </t>
  </si>
  <si>
    <t>37052110560EQMRCZZ02</t>
  </si>
  <si>
    <t>37052110560EQMRCZZ03</t>
  </si>
  <si>
    <t>37052110560EQMRCZZHO</t>
  </si>
  <si>
    <t>37052110600EQMRCZZ02</t>
  </si>
  <si>
    <t>37052110600EQMRCZZHO</t>
  </si>
  <si>
    <t>37052130010EQMRCZZHO</t>
  </si>
  <si>
    <t>37052130100EQMRCZZHO</t>
  </si>
  <si>
    <t>37052130200EQMRCZZHO</t>
  </si>
  <si>
    <t>37052130300EQMRCZZHO</t>
  </si>
  <si>
    <t>37052130400EQMRCZZHO</t>
  </si>
  <si>
    <t>37052142180EQMRCZZHO</t>
  </si>
  <si>
    <t>37052260600EQMRCZZHO</t>
  </si>
  <si>
    <t>37052260600EQP29ZZHO</t>
  </si>
  <si>
    <t>37052260600EQP36ZZWD</t>
  </si>
  <si>
    <t>37052260600EQP60ZZHO</t>
  </si>
  <si>
    <t>OS: CATERING SERVICES (MHS awareness )</t>
  </si>
  <si>
    <t>37052264500EQP67ZZWD</t>
  </si>
  <si>
    <t>OS: PERSONNEL &amp; LABOUR</t>
  </si>
  <si>
    <t>37052270310EQMRCZZWD</t>
  </si>
  <si>
    <t>C&amp;PS: B&amp;A AIR POLLUTION</t>
  </si>
  <si>
    <t>37052270400EQP17ZZHO</t>
  </si>
  <si>
    <t>C&amp;PS: B&amp;A ORGANISATIONAL (disaster)</t>
  </si>
  <si>
    <t>37052273330EQMRCZZHO</t>
  </si>
  <si>
    <t>C&amp;PS: LAB SERV WATER</t>
  </si>
  <si>
    <t>37052283610EQP20ZZHO</t>
  </si>
  <si>
    <t>CONTR: MAINTENANCE OF EQUIPMENT</t>
  </si>
  <si>
    <t>37052301870EQP36ZZWD</t>
  </si>
  <si>
    <t>OC: HIRE CHARGES (MHS awareness)</t>
  </si>
  <si>
    <t>37052305410EQMRCZZHO</t>
  </si>
  <si>
    <t>37052305760EQMRCZZHO</t>
  </si>
  <si>
    <t>37052320600EQMRCZZWD</t>
  </si>
  <si>
    <t>38052511990EQP59ZZHO</t>
  </si>
  <si>
    <t>PRV DPT AGEN - LIM ECON DEV AGENCY</t>
  </si>
  <si>
    <t>39052030080EQMRCZZHO</t>
  </si>
  <si>
    <t>SM MM: ALLOW - HOUSING BENEFITS</t>
  </si>
  <si>
    <t>39052110010EQMRCZZHO</t>
  </si>
  <si>
    <t>39052110220EQMRCZZHO</t>
  </si>
  <si>
    <t>39052110260EQMRCZZHO</t>
  </si>
  <si>
    <t>39052110320EQMRCZZHO</t>
  </si>
  <si>
    <t>39052110340EQMRCZZHO</t>
  </si>
  <si>
    <t>39052110360EQMRCZZHO</t>
  </si>
  <si>
    <t>39052110380EQMRCZZHO</t>
  </si>
  <si>
    <t>39052130010EQMRCZZHO</t>
  </si>
  <si>
    <t>39052130100EQMRCZZHO</t>
  </si>
  <si>
    <t>39052130200EQMRCZZHO</t>
  </si>
  <si>
    <t>39052130300EQMRCZZHO</t>
  </si>
  <si>
    <t>39052130400EQMRCZZHO</t>
  </si>
  <si>
    <t>39052142180EQMRCZZHO</t>
  </si>
  <si>
    <t>39052142200EQMRCZZHO</t>
  </si>
  <si>
    <t>39052260600EQMRCZZHO</t>
  </si>
  <si>
    <t>39052270340EQMRCZZHO</t>
  </si>
  <si>
    <t>C&amp;PS: B&amp;A BUSINESS &amp; FIN MANAGEMENT (Financial System)</t>
  </si>
  <si>
    <t>39052270390EQP73ZZHO</t>
  </si>
  <si>
    <t>C&amp;PS: B&amp;A OCCUPATIONAL HEALTH &amp; SAFE (EMS)</t>
  </si>
  <si>
    <t>39052270400EQMRCZZHO</t>
  </si>
  <si>
    <t>C&amp;PS: B&amp;A ORGANISATIONAL</t>
  </si>
  <si>
    <t>39052270410EQMRCZZHO</t>
  </si>
  <si>
    <t>C&amp;PS: B&amp;A PROJECT MANAGEMENT (OD- change management)</t>
  </si>
  <si>
    <t>39052281210EQMRCZZHO</t>
  </si>
  <si>
    <t>CONTR: EMPLOYEE WELLNESS</t>
  </si>
  <si>
    <t>39052283600EQP72ZZHO</t>
  </si>
  <si>
    <t>CONTR:  MAINT OF BUILDINGS &amp; FACILITIES</t>
  </si>
  <si>
    <t>39052283610EQP74ZZHO</t>
  </si>
  <si>
    <t>39052300110EQMRCZZHO</t>
  </si>
  <si>
    <t>OC: ADV/PUB/MARK -BURSARIES (NON-EMPLOY)</t>
  </si>
  <si>
    <t>39052300120EQMRCZZHO</t>
  </si>
  <si>
    <t>OC: ADV/PUB/MARK - CORP &amp; MUN ACTIVITIES (Training)</t>
  </si>
  <si>
    <t>39052300170EQMRCZZHO</t>
  </si>
  <si>
    <t>OC: ADV/PUB/MARK - STAFF RECRUITMENT</t>
  </si>
  <si>
    <t>39052300490EQMRCZZHO</t>
  </si>
  <si>
    <t>OC: BURSARIES (EMPLOYEES)</t>
  </si>
  <si>
    <t>39052301170EQMRCZZHO</t>
  </si>
  <si>
    <t>OC: COMM - PHONE FAX TELEGRAPH &amp; TELEX</t>
  </si>
  <si>
    <t>39052301790EQMRCZZHO</t>
  </si>
  <si>
    <t>OC: EXT COM SERV PROV - SPEC COMPUT SERV (software licences)</t>
  </si>
  <si>
    <t>39052303330EQMRCZZHO</t>
  </si>
  <si>
    <t>OC: LIC - VEHICLE LIC &amp; REGISTRATIONS</t>
  </si>
  <si>
    <t>39052303600EQMRCZZHO</t>
  </si>
  <si>
    <t>OC: MANAGEMENT FEE</t>
  </si>
  <si>
    <t>39052305410EQMRCZZHO</t>
  </si>
  <si>
    <t>39052305450EQMRCZZHO</t>
  </si>
  <si>
    <t>OC: STORAGE OF FILES (ARCHIVING)</t>
  </si>
  <si>
    <t>39052305760EQMRCZZHO</t>
  </si>
  <si>
    <t>39052306300EQP76ZZHO</t>
  </si>
  <si>
    <t>OC: VEHICLE TRACKING (Vehicle lease)</t>
  </si>
  <si>
    <t>39052306610EQMRCZZHO</t>
  </si>
  <si>
    <t>39052320600EQMRCZZHO</t>
  </si>
  <si>
    <t>39052381500EQMRCZZHO</t>
  </si>
  <si>
    <t>OPR LEASES: FURNITURE &amp; OFFICE EQUIPMENT (photocopiers)</t>
  </si>
  <si>
    <t>39052383650EQMRCZZHO</t>
  </si>
  <si>
    <t>OPR LEASES: OTHER ASSETS</t>
  </si>
  <si>
    <t>Municipal Manager's Office</t>
  </si>
  <si>
    <t>BTO</t>
  </si>
  <si>
    <t>IWS</t>
  </si>
  <si>
    <t>COMMUNITY</t>
  </si>
  <si>
    <t>PED</t>
  </si>
  <si>
    <t>SDA</t>
  </si>
  <si>
    <t>CORPORATE SERVICES</t>
  </si>
  <si>
    <t>SPEAKER'S OFFICE</t>
  </si>
  <si>
    <t>DRAFT OPERATIONAL BUDGET 2019/20 MTREF</t>
  </si>
  <si>
    <t>Adjustment Reason</t>
  </si>
  <si>
    <t>Adjustment  Budget 2018/19</t>
  </si>
  <si>
    <t>2020/2021</t>
  </si>
  <si>
    <t>SDM FUNDED</t>
  </si>
  <si>
    <t>35106420420EQD59ZZWD</t>
  </si>
  <si>
    <t>COMPUTER</t>
  </si>
  <si>
    <t>35106420420EQD60ZZWD</t>
  </si>
  <si>
    <t>MHS EQUIPMENT</t>
  </si>
  <si>
    <t>35106420420EQG21ZZWD</t>
  </si>
  <si>
    <t>SDM-EMS</t>
  </si>
  <si>
    <t>35106420420EQG22ZZWD</t>
  </si>
  <si>
    <t>SDM-DISASTER MANAGEMENT</t>
  </si>
  <si>
    <t>35106446020EQD64ZZWD</t>
  </si>
  <si>
    <t>OFFICE EQUIPMENT</t>
  </si>
  <si>
    <t>Council Chamber</t>
  </si>
  <si>
    <t>35106446020EQD67ZZWD</t>
  </si>
  <si>
    <t>SDM- WCWDM PLAN</t>
  </si>
  <si>
    <t>Adjust to Operation &amp; maintenance due to delays in appointment of PSP</t>
  </si>
  <si>
    <t>35106446020EQD69ZZWD</t>
  </si>
  <si>
    <t>SDM-O&amp;M MANAGEMENT PLAN</t>
  </si>
  <si>
    <t>Additional from WCWDM PLAN</t>
  </si>
  <si>
    <t>35106446020EQG23ZZWD</t>
  </si>
  <si>
    <t>SDM WATER &amp; SANITATION MASTER PLAN</t>
  </si>
  <si>
    <t>No adjustment - PSP to  be appointed before end of February 2019</t>
  </si>
  <si>
    <t>35106446020EQG24ZZWD</t>
  </si>
  <si>
    <t>SDM WSDP (UPDATE)</t>
  </si>
  <si>
    <t>35106446020EQG26ZZWD</t>
  </si>
  <si>
    <t>SECURITY FENCE</t>
  </si>
  <si>
    <t>35156449420EQC01ZZ02</t>
  </si>
  <si>
    <t>SDM- EM REHAB-GROBLERSDAL BULK SEWER</t>
  </si>
  <si>
    <t>35156449420EQC02ZZWD</t>
  </si>
  <si>
    <t>SDM-CAPITAL REPLACEMENT RESERVE</t>
  </si>
  <si>
    <t xml:space="preserve">Developme  nt of  feasibility  study in  Marble Hall  town for  bulk sewer  and pump  station  </t>
  </si>
  <si>
    <t>Apllication of bulk water infrastructure servitude</t>
  </si>
  <si>
    <t>Promalgation of Bulk contribution policy</t>
  </si>
  <si>
    <t>Review of water and santitation by-law</t>
  </si>
  <si>
    <t>Conduct  Feasibility  Studies and  develop  Technical reports</t>
  </si>
  <si>
    <t>RBIG</t>
  </si>
  <si>
    <t>35106446020RBD17ZZ05</t>
  </si>
  <si>
    <t>RBIG-GTML PHASE 4BB BULK</t>
  </si>
  <si>
    <t>Adjusted to cover incurred cost of the PSP &amp; contractor</t>
  </si>
  <si>
    <t>35106446020RBD18ZZ05</t>
  </si>
  <si>
    <t>RBIG-GTML PHASE 4E BULK</t>
  </si>
  <si>
    <t>35106446020RBD19ZZ05</t>
  </si>
  <si>
    <t>RBIG-GTMLáPHASEá4FáBULK</t>
  </si>
  <si>
    <t>35106446020RBD20ZZ05</t>
  </si>
  <si>
    <t>RBIG-GTML PHASE 4G BULK</t>
  </si>
  <si>
    <t>35106447020RBC57ZZ03</t>
  </si>
  <si>
    <t>RBIG-MKLMáNEBOáBWS J FURSE-LOBETHAL BWS</t>
  </si>
  <si>
    <t>Project to be executed in the next financial year</t>
  </si>
  <si>
    <t>35106447020RBC59ZZ03</t>
  </si>
  <si>
    <t>RBIG-MKLMáNEBOáBWS áMAKGERU TO SCHOONOOR</t>
  </si>
  <si>
    <t>35106447020RBC65ZZ02</t>
  </si>
  <si>
    <t>EMLM MOUTSE BWS - PROJECT 7 TO 12; 1 &amp; 5</t>
  </si>
  <si>
    <t>35106447020RBC66ZZ02</t>
  </si>
  <si>
    <t>RBIG-EMLM MOUTSE BWS - PROJECT 7 TO 12,13 &amp; 14</t>
  </si>
  <si>
    <t>35106447020RBG09ZZ05</t>
  </si>
  <si>
    <t>RBIG-GTML PHASE 4C1.2 BULK</t>
  </si>
  <si>
    <t>35106447020RBG11ZZ05</t>
  </si>
  <si>
    <t>RBIG-GTML PHASE 4C2 BULK</t>
  </si>
  <si>
    <t>35106447020RBG12ZZ05</t>
  </si>
  <si>
    <t>RBIG-GTML PHASE 4H BULK</t>
  </si>
  <si>
    <t>35106447020RBG27ZZWD</t>
  </si>
  <si>
    <t>RBIG-EMLM MOUTSE BWS - PROJ 1-6 COMMIS</t>
  </si>
  <si>
    <t>35106447020RBG28ZZWD</t>
  </si>
  <si>
    <t>RBIG-MKLM NEBO BWS GA MALE TO JANE F P1A</t>
  </si>
  <si>
    <t>RBIG-GTML UPGRADING OF MALEKANE WTW</t>
  </si>
  <si>
    <t>WSIG</t>
  </si>
  <si>
    <t>35106446020WAD57ZZ05</t>
  </si>
  <si>
    <t>WSIG-MAHLAKWANA TO MAPODILE PIPE LINE</t>
  </si>
  <si>
    <t>Ajusted to complete feasible project</t>
  </si>
  <si>
    <t>35106446020WAD73ZZ03</t>
  </si>
  <si>
    <t>WSIG- APEL CROSS RDP RETICULAT NETWORK</t>
  </si>
  <si>
    <t>35106446020WAD76ZZ03</t>
  </si>
  <si>
    <t>WSIG- JANE FURSE RDP PACKAGE PLANT</t>
  </si>
  <si>
    <t>35106446020WAD79ZZ01</t>
  </si>
  <si>
    <t>WSIG- LETEBEJANE WATER METERS INSTALL</t>
  </si>
  <si>
    <t>35106446020WAD81ZZ03</t>
  </si>
  <si>
    <t>WSIG- MADIBONG WATER SUPPLY</t>
  </si>
  <si>
    <t>35106446020WAD90ZZ03</t>
  </si>
  <si>
    <t>WSIG- NEBO PHASE 1A-TESING AND COMMISS</t>
  </si>
  <si>
    <t>35106446020WAD91ZZ05</t>
  </si>
  <si>
    <t>WSIG- PHIRING WATER INTERVENTION</t>
  </si>
  <si>
    <t>35106446020WAD97ZZ03</t>
  </si>
  <si>
    <t>WSIG- UITVLUGHT WATER SUPPLY</t>
  </si>
  <si>
    <t>35106446020MGG39ZZ05</t>
  </si>
  <si>
    <t>MASEVEN BULK WATER SUPPLY</t>
  </si>
  <si>
    <t>Adjusted to complete the project</t>
  </si>
  <si>
    <t>35106447020WAD30ZZ03</t>
  </si>
  <si>
    <t>WSIGá-áMKLMáMORETSELEáVIDP áá</t>
  </si>
  <si>
    <t>35106444420WAC04ZZ05</t>
  </si>
  <si>
    <t>GTLMáTUKAKGOMOáRDPáSECTIONáBOREHOLEáEQP</t>
  </si>
  <si>
    <t>35106444420WAG03ZZ05</t>
  </si>
  <si>
    <t>MAEBE DRILLING AND EQUIPPING OF BOREHOLE</t>
  </si>
  <si>
    <t>MAPULANENG DRILLING AND EQP OF BOREHOLE</t>
  </si>
  <si>
    <t>WSIG-REFURBISHMENT OF TJIBENG PACKAGE PLANT</t>
  </si>
  <si>
    <t>WSIG-LOBETHAL WATER SUPPLY</t>
  </si>
  <si>
    <t>Zaaiplaas(Mzimdala) Borehole Equipping</t>
  </si>
  <si>
    <t>Roll over project</t>
  </si>
  <si>
    <t>Rutseng Water Intervention</t>
  </si>
  <si>
    <t xml:space="preserve">Completion of Mamatjekele Package plant </t>
  </si>
  <si>
    <t>Jane Furse RDP Package plant</t>
  </si>
  <si>
    <t>Nebo Phase 1A testing and comissioning(Water Demand Management Provisioning).</t>
  </si>
  <si>
    <t>Keerom Water Supply</t>
  </si>
  <si>
    <t>Rathoke  Water Supply Ext</t>
  </si>
  <si>
    <t>Maebe drilling and equipping of borehole</t>
  </si>
  <si>
    <t>Makgane Water Intervention</t>
  </si>
  <si>
    <t>Bothashoek Water Supply</t>
  </si>
  <si>
    <t>Mokgapaneng Water Interventions</t>
  </si>
  <si>
    <t>Phokwane Brooklyn water supply</t>
  </si>
  <si>
    <t>Manganeng &amp; Madirane Water supply</t>
  </si>
  <si>
    <t>Uitspanning Water Source development</t>
  </si>
  <si>
    <t>Flag Boshielo Water Conservation &amp; Water Demand Management</t>
  </si>
  <si>
    <t>Bulk meter installation zonal Discretion</t>
  </si>
  <si>
    <t>Moraba water reticulation</t>
  </si>
  <si>
    <t>-</t>
  </si>
  <si>
    <t>Nebo Central</t>
  </si>
  <si>
    <t>Merakeng water reticulation</t>
  </si>
  <si>
    <t>Manoge drilling and equipping of borehole</t>
  </si>
  <si>
    <t>Lerajane drilling and equipping of borehole</t>
  </si>
  <si>
    <t>Mapulaneng drilling and equipping of borehole</t>
  </si>
  <si>
    <t xml:space="preserve">Maebe/Mohlaletsi interventions </t>
  </si>
  <si>
    <t>Seokodibeng construction reticulation network</t>
  </si>
  <si>
    <t>Mashikwe drilling and equipping of borehole</t>
  </si>
  <si>
    <t>Mabulela drilling and equipping of borehole</t>
  </si>
  <si>
    <t>35106447020MGC36ZZ04</t>
  </si>
  <si>
    <t>MIG-FKLM OLIFANTS CONTRACT 21 : SOUTHERN</t>
  </si>
  <si>
    <t>35106447020MGC37ZZ04</t>
  </si>
  <si>
    <t>MIG-FKLM OLIFANTS CONTRACT 22 : NORTHERN</t>
  </si>
  <si>
    <t>35106447020MGC43ZZ05</t>
  </si>
  <si>
    <t>MIG-GTML GA - MAPHOPHA COMMAND RESERVIOR</t>
  </si>
  <si>
    <t>Ajusted to complete the project</t>
  </si>
  <si>
    <t>35106447020MGC55ZZ04</t>
  </si>
  <si>
    <t>MIG-FKLM NKADIMENG: PHASE 9 TO 11</t>
  </si>
  <si>
    <t>35106447020MGD05ZZ03</t>
  </si>
  <si>
    <t>MIG- MKLM GA-MASHABELA WATER RETICULAT</t>
  </si>
  <si>
    <t>35106447020MGD06ZZ03</t>
  </si>
  <si>
    <t>MIG-MKLM GA-MARISHANE WATER RETICULATION</t>
  </si>
  <si>
    <t>35106447020MGD08ZZ03</t>
  </si>
  <si>
    <t>MIG-MKLM LOBETHAL WATER SUPPLY</t>
  </si>
  <si>
    <t>35106447020MGD09ZZ03</t>
  </si>
  <si>
    <t>MIG-MKLM GA-PHAAHLA WATER SUPPLY</t>
  </si>
  <si>
    <t>35156449420MGC17ZZ02</t>
  </si>
  <si>
    <t>MIG-EM CARBONATITES TO ZAAIPLAAS P2</t>
  </si>
  <si>
    <t>35156449420MGC31ZZ04</t>
  </si>
  <si>
    <t>MIG-FKLM OLIFANTS CONTRACT 24: BULK</t>
  </si>
  <si>
    <t>35156449420MGG13ZZ04</t>
  </si>
  <si>
    <t>MIG-EM ROSSENEKAL WWTW</t>
  </si>
  <si>
    <t>MIG-GTLM LEBALELO SOUTH CONN PIPES &amp; RETICULATIONS</t>
  </si>
  <si>
    <t>Ajusted to cover VIP projects</t>
  </si>
  <si>
    <t xml:space="preserve">Ga Mogashwa(Sengapudi) &amp; Ga Mogashwa (Manamane) </t>
  </si>
  <si>
    <t>New project</t>
  </si>
  <si>
    <t>NSD07 Regional Water Scheme Construction of concrete reserviors</t>
  </si>
  <si>
    <t>Malekane Regional Water Scheme</t>
  </si>
  <si>
    <t>Lebalelo South Phase 3 (Ga Maroga &amp; Motlolo Bulk &amp; reticulation innfrastructure</t>
  </si>
  <si>
    <t>Zaaiplaas Village Reticulation Phase 2 ( Vlakfontein, Slovo and remaining village ) - CO</t>
  </si>
  <si>
    <t xml:space="preserve"> Masakaneng Water Supply </t>
  </si>
  <si>
    <t>Upgrade Groblersdal Luckau</t>
  </si>
  <si>
    <t xml:space="preserve">Sekwati Water Supply phase 5 </t>
  </si>
  <si>
    <t xml:space="preserve">Ga-Marishane water reticulation supply - phase 2 </t>
  </si>
  <si>
    <t>Nkadimeng RWS Extension 2( Phase 9 to 11) (Fetakgomo) Ga-Mmela to Mashilavele,  Ga-Pahla, Molapong, Ga-Magolego, Mankontu and Masehleng</t>
  </si>
  <si>
    <t>Mampuru Bulk Water Scheme</t>
  </si>
  <si>
    <t>Motlailana, Makgemeng &amp; Taung Water Supply</t>
  </si>
  <si>
    <t>MIG</t>
  </si>
  <si>
    <t>LAERSDRIFT WATER SOURCE DEVELOPMENNT &amp; BULK</t>
  </si>
  <si>
    <t>WSIG- MAEBE /MOHLALETSI INTERVENTIONS</t>
  </si>
  <si>
    <t>WSIG- RIBACROSS WATER SOURCE DEV WITH BULK</t>
  </si>
  <si>
    <t>WSIG- MPITA WATER SOURCE DEV WITH BULK</t>
  </si>
  <si>
    <t>WSIG- SHAKUNG WATER SUPPLY &amp; SOURCE DEVELOPMENT</t>
  </si>
  <si>
    <t>WSIG- MAPODILE WCWDM</t>
  </si>
  <si>
    <t>WSIG- NKOSINI WATER SUPPLY WITH PACKAGE PLANT</t>
  </si>
  <si>
    <t>WSIG: MOGOROANE WATER SUPPLY</t>
  </si>
  <si>
    <t>WSIG- STRYDSSKRAL</t>
  </si>
  <si>
    <t>WSIG- UITSPANNING WATER SUPPLY 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</si>
</sst>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49" fontId="3" fillId="0" borderId="1" xfId="1" applyNumberFormat="1" applyFont="1" applyFill="1" applyBorder="1"/>
    <xf numFmtId="43" fontId="0" fillId="0" borderId="0" xfId="1" applyFont="1" applyFill="1" applyBorder="1"/>
    <xf numFmtId="43" fontId="3" fillId="0" borderId="3" xfId="1" applyFont="1" applyFill="1" applyBorder="1"/>
    <xf numFmtId="49" fontId="3" fillId="0" borderId="4" xfId="1" applyNumberFormat="1" applyFont="1" applyFill="1" applyBorder="1"/>
    <xf numFmtId="43" fontId="0" fillId="0" borderId="5" xfId="1" applyFont="1" applyFill="1" applyBorder="1"/>
    <xf numFmtId="43" fontId="3" fillId="0" borderId="6" xfId="1" applyFont="1" applyFill="1" applyBorder="1"/>
    <xf numFmtId="0" fontId="3" fillId="0" borderId="0" xfId="0" applyFont="1" applyFill="1" applyBorder="1"/>
    <xf numFmtId="49" fontId="3" fillId="0" borderId="0" xfId="1" applyNumberFormat="1" applyFont="1" applyFill="1" applyBorder="1"/>
    <xf numFmtId="49" fontId="3" fillId="0" borderId="5" xfId="1" applyNumberFormat="1" applyFont="1" applyFill="1" applyBorder="1"/>
    <xf numFmtId="0" fontId="0" fillId="0" borderId="0" xfId="0" applyFont="1" applyFill="1"/>
    <xf numFmtId="43" fontId="0" fillId="0" borderId="0" xfId="1" applyFont="1" applyFill="1"/>
    <xf numFmtId="43" fontId="3" fillId="0" borderId="7" xfId="1" applyFont="1" applyFill="1" applyBorder="1"/>
    <xf numFmtId="0" fontId="3" fillId="0" borderId="0" xfId="0" applyFont="1" applyFill="1"/>
    <xf numFmtId="0" fontId="4" fillId="0" borderId="0" xfId="0" applyFont="1" applyFill="1"/>
    <xf numFmtId="9" fontId="0" fillId="0" borderId="0" xfId="0" applyNumberFormat="1" applyFont="1" applyFill="1"/>
    <xf numFmtId="10" fontId="0" fillId="0" borderId="0" xfId="0" applyNumberFormat="1" applyFont="1" applyFill="1"/>
    <xf numFmtId="43" fontId="3" fillId="0" borderId="0" xfId="1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11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3" fillId="0" borderId="0" xfId="1" applyFont="1"/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8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/>
    <xf numFmtId="43" fontId="0" fillId="0" borderId="0" xfId="1" applyFont="1" applyBorder="1"/>
    <xf numFmtId="43" fontId="0" fillId="0" borderId="5" xfId="1" applyFont="1" applyBorder="1"/>
    <xf numFmtId="43" fontId="0" fillId="0" borderId="0" xfId="1" applyFont="1"/>
    <xf numFmtId="0" fontId="0" fillId="0" borderId="0" xfId="0" applyFill="1"/>
    <xf numFmtId="0" fontId="0" fillId="0" borderId="8" xfId="0" applyFill="1" applyBorder="1"/>
    <xf numFmtId="0" fontId="0" fillId="0" borderId="0" xfId="0" applyFill="1" applyBorder="1"/>
    <xf numFmtId="43" fontId="8" fillId="0" borderId="0" xfId="1" applyFont="1" applyFill="1" applyBorder="1"/>
    <xf numFmtId="43" fontId="8" fillId="0" borderId="5" xfId="1" applyFont="1" applyFill="1" applyBorder="1"/>
    <xf numFmtId="0" fontId="0" fillId="0" borderId="0" xfId="0" applyFill="1" applyBorder="1" applyAlignment="1">
      <alignment wrapText="1"/>
    </xf>
    <xf numFmtId="0" fontId="7" fillId="0" borderId="13" xfId="0" applyFont="1" applyFill="1" applyBorder="1"/>
    <xf numFmtId="0" fontId="7" fillId="0" borderId="3" xfId="0" applyFont="1" applyFill="1" applyBorder="1"/>
    <xf numFmtId="43" fontId="7" fillId="0" borderId="3" xfId="1" applyFont="1" applyFill="1" applyBorder="1"/>
    <xf numFmtId="43" fontId="7" fillId="0" borderId="6" xfId="1" applyFont="1" applyFill="1" applyBorder="1"/>
    <xf numFmtId="0" fontId="7" fillId="0" borderId="8" xfId="0" applyFont="1" applyFill="1" applyBorder="1"/>
    <xf numFmtId="43" fontId="2" fillId="0" borderId="0" xfId="1" applyFont="1" applyFill="1" applyBorder="1"/>
    <xf numFmtId="43" fontId="8" fillId="0" borderId="0" xfId="1" applyFont="1" applyFill="1"/>
    <xf numFmtId="43" fontId="3" fillId="0" borderId="0" xfId="1" applyFont="1" applyFill="1"/>
    <xf numFmtId="0" fontId="9" fillId="0" borderId="8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43" fontId="0" fillId="0" borderId="0" xfId="1" applyFont="1" applyFill="1" applyBorder="1" applyAlignment="1">
      <alignment horizontal="right"/>
    </xf>
    <xf numFmtId="43" fontId="0" fillId="0" borderId="5" xfId="1" applyFont="1" applyFill="1" applyBorder="1" applyAlignment="1">
      <alignment horizontal="right"/>
    </xf>
    <xf numFmtId="0" fontId="7" fillId="0" borderId="9" xfId="0" applyFont="1" applyFill="1" applyBorder="1"/>
    <xf numFmtId="0" fontId="7" fillId="0" borderId="2" xfId="0" applyFont="1" applyFill="1" applyBorder="1"/>
    <xf numFmtId="43" fontId="2" fillId="0" borderId="5" xfId="1" applyFont="1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11" fillId="0" borderId="0" xfId="0" applyFont="1" applyFill="1" applyBorder="1"/>
    <xf numFmtId="0" fontId="12" fillId="0" borderId="0" xfId="0" applyFont="1" applyFill="1" applyBorder="1"/>
    <xf numFmtId="43" fontId="12" fillId="0" borderId="0" xfId="1" applyFont="1" applyFill="1" applyBorder="1"/>
    <xf numFmtId="43" fontId="12" fillId="0" borderId="0" xfId="0" applyNumberFormat="1" applyFont="1" applyFill="1"/>
    <xf numFmtId="43" fontId="0" fillId="0" borderId="0" xfId="0" applyNumberFormat="1" applyFill="1"/>
    <xf numFmtId="0" fontId="7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7"/>
  <sheetViews>
    <sheetView tabSelected="1" topLeftCell="A82" workbookViewId="0">
      <selection activeCell="C93" sqref="C93"/>
    </sheetView>
  </sheetViews>
  <sheetFormatPr defaultRowHeight="14.4" x14ac:dyDescent="0.3"/>
  <cols>
    <col min="2" max="2" width="23.88671875" customWidth="1"/>
    <col min="3" max="3" width="51.77734375" customWidth="1"/>
    <col min="4" max="4" width="22" customWidth="1"/>
    <col min="5" max="5" width="20.21875" bestFit="1" customWidth="1"/>
    <col min="6" max="6" width="21.5546875" customWidth="1"/>
    <col min="7" max="7" width="22.44140625" customWidth="1"/>
    <col min="8" max="8" width="35.88671875" hidden="1" customWidth="1"/>
    <col min="9" max="9" width="10.88671875" hidden="1" customWidth="1"/>
    <col min="10" max="10" width="15" hidden="1" customWidth="1"/>
    <col min="11" max="11" width="9.109375" hidden="1" customWidth="1"/>
    <col min="12" max="12" width="35.33203125" customWidth="1"/>
  </cols>
  <sheetData>
    <row r="1" spans="1:12" ht="15" thickBot="1" x14ac:dyDescent="0.35">
      <c r="A1" s="21"/>
      <c r="B1" s="21"/>
      <c r="C1" s="21"/>
      <c r="D1" s="22"/>
      <c r="E1" s="22"/>
      <c r="F1" s="22"/>
      <c r="G1" s="22"/>
      <c r="H1" s="22" t="s">
        <v>523</v>
      </c>
    </row>
    <row r="2" spans="1:12" s="21" customFormat="1" ht="29.4" thickBot="1" x14ac:dyDescent="0.35">
      <c r="B2" s="23" t="s">
        <v>0</v>
      </c>
      <c r="C2" s="23" t="s">
        <v>1</v>
      </c>
      <c r="D2" s="24" t="s">
        <v>524</v>
      </c>
      <c r="E2" s="25" t="s">
        <v>3</v>
      </c>
      <c r="F2" s="26" t="s">
        <v>525</v>
      </c>
      <c r="G2" s="27" t="s">
        <v>5</v>
      </c>
      <c r="H2" s="28"/>
      <c r="I2" s="28"/>
      <c r="J2" s="28"/>
      <c r="K2" s="28"/>
      <c r="L2" s="28"/>
    </row>
    <row r="3" spans="1:12" s="21" customFormat="1" x14ac:dyDescent="0.3">
      <c r="B3" s="29"/>
      <c r="C3" s="30"/>
      <c r="D3" s="31"/>
      <c r="E3" s="32"/>
      <c r="F3" s="32"/>
      <c r="G3" s="33"/>
      <c r="H3" s="28"/>
      <c r="I3" s="28"/>
      <c r="J3" s="28"/>
      <c r="K3" s="28"/>
      <c r="L3" s="28"/>
    </row>
    <row r="4" spans="1:12" ht="18" x14ac:dyDescent="0.35">
      <c r="B4" s="34" t="s">
        <v>526</v>
      </c>
      <c r="C4" s="35"/>
      <c r="D4" s="36"/>
      <c r="E4" s="36"/>
      <c r="F4" s="36"/>
      <c r="G4" s="37"/>
    </row>
    <row r="5" spans="1:12" x14ac:dyDescent="0.3">
      <c r="A5" t="s">
        <v>191</v>
      </c>
      <c r="B5" s="38" t="s">
        <v>527</v>
      </c>
      <c r="C5" s="35" t="s">
        <v>528</v>
      </c>
      <c r="D5" s="39">
        <v>850000</v>
      </c>
      <c r="E5" s="39"/>
      <c r="F5" s="39">
        <v>2000000</v>
      </c>
      <c r="G5" s="40">
        <v>2000000</v>
      </c>
      <c r="H5" s="41"/>
      <c r="I5" s="41" t="s">
        <v>187</v>
      </c>
      <c r="J5" s="41">
        <v>11079.17</v>
      </c>
      <c r="K5" s="41">
        <v>98.69</v>
      </c>
      <c r="L5" s="41"/>
    </row>
    <row r="6" spans="1:12" x14ac:dyDescent="0.3">
      <c r="A6" t="s">
        <v>191</v>
      </c>
      <c r="B6" s="38" t="s">
        <v>529</v>
      </c>
      <c r="C6" s="35" t="s">
        <v>530</v>
      </c>
      <c r="D6" s="39">
        <v>157950</v>
      </c>
      <c r="E6" s="39"/>
      <c r="F6" s="39"/>
      <c r="G6" s="40"/>
      <c r="H6" s="41"/>
      <c r="I6" s="41" t="s">
        <v>187</v>
      </c>
      <c r="J6" s="41">
        <v>132450</v>
      </c>
      <c r="K6" s="41">
        <v>16.14</v>
      </c>
      <c r="L6" s="41"/>
    </row>
    <row r="7" spans="1:12" x14ac:dyDescent="0.3">
      <c r="A7" t="s">
        <v>191</v>
      </c>
      <c r="B7" s="38" t="s">
        <v>531</v>
      </c>
      <c r="C7" s="35" t="s">
        <v>532</v>
      </c>
      <c r="D7" s="39">
        <v>640000</v>
      </c>
      <c r="E7" s="39">
        <v>1000000</v>
      </c>
      <c r="F7" s="39"/>
      <c r="G7" s="40"/>
      <c r="H7" s="41"/>
      <c r="I7" s="41" t="s">
        <v>187</v>
      </c>
      <c r="J7" s="41">
        <v>640000</v>
      </c>
      <c r="K7" s="41">
        <v>0</v>
      </c>
      <c r="L7" s="41"/>
    </row>
    <row r="8" spans="1:12" x14ac:dyDescent="0.3">
      <c r="A8" t="s">
        <v>191</v>
      </c>
      <c r="B8" s="38" t="s">
        <v>533</v>
      </c>
      <c r="C8" s="35" t="s">
        <v>534</v>
      </c>
      <c r="D8" s="39">
        <v>50000</v>
      </c>
      <c r="E8" s="39"/>
      <c r="F8" s="39"/>
      <c r="G8" s="40"/>
      <c r="H8" s="41"/>
      <c r="I8" s="41" t="s">
        <v>187</v>
      </c>
      <c r="J8" s="41">
        <v>50000</v>
      </c>
      <c r="K8" s="41">
        <v>0</v>
      </c>
      <c r="L8" s="41"/>
    </row>
    <row r="9" spans="1:12" x14ac:dyDescent="0.3">
      <c r="A9" t="s">
        <v>191</v>
      </c>
      <c r="B9" s="38" t="s">
        <v>535</v>
      </c>
      <c r="C9" s="35" t="s">
        <v>536</v>
      </c>
      <c r="D9" s="39">
        <v>578600</v>
      </c>
      <c r="E9" s="39"/>
      <c r="F9" s="39"/>
      <c r="G9" s="40"/>
      <c r="H9" s="41"/>
      <c r="I9" s="41" t="s">
        <v>187</v>
      </c>
      <c r="J9" s="41">
        <v>230100.04</v>
      </c>
      <c r="K9" s="41">
        <v>60.23</v>
      </c>
      <c r="L9" s="41"/>
    </row>
    <row r="10" spans="1:12" x14ac:dyDescent="0.3">
      <c r="B10" s="38"/>
      <c r="C10" s="35" t="s">
        <v>537</v>
      </c>
      <c r="D10" s="39"/>
      <c r="E10" s="39">
        <v>7000000</v>
      </c>
      <c r="F10" s="39"/>
      <c r="G10" s="40"/>
      <c r="H10" s="41"/>
      <c r="I10" s="41"/>
      <c r="J10" s="41"/>
      <c r="K10" s="41"/>
      <c r="L10" s="41"/>
    </row>
    <row r="11" spans="1:12" s="42" customFormat="1" x14ac:dyDescent="0.3">
      <c r="A11" s="42" t="s">
        <v>191</v>
      </c>
      <c r="B11" s="43" t="s">
        <v>538</v>
      </c>
      <c r="C11" s="44" t="s">
        <v>539</v>
      </c>
      <c r="D11" s="5">
        <v>0</v>
      </c>
      <c r="E11" s="45">
        <f>2000000</f>
        <v>2000000</v>
      </c>
      <c r="F11" s="45">
        <f>15000000</f>
        <v>15000000</v>
      </c>
      <c r="G11" s="46">
        <f>30000000</f>
        <v>30000000</v>
      </c>
      <c r="H11" s="14" t="s">
        <v>540</v>
      </c>
      <c r="I11" s="14" t="s">
        <v>187</v>
      </c>
      <c r="J11" s="14">
        <v>500000</v>
      </c>
      <c r="K11" s="14">
        <v>0</v>
      </c>
      <c r="L11" s="14"/>
    </row>
    <row r="12" spans="1:12" s="42" customFormat="1" x14ac:dyDescent="0.3">
      <c r="A12" s="42" t="s">
        <v>191</v>
      </c>
      <c r="B12" s="43" t="s">
        <v>541</v>
      </c>
      <c r="C12" s="44" t="s">
        <v>542</v>
      </c>
      <c r="D12" s="5">
        <v>1300000</v>
      </c>
      <c r="E12" s="5">
        <f>1500000</f>
        <v>1500000</v>
      </c>
      <c r="F12" s="5">
        <f>1800000</f>
        <v>1800000</v>
      </c>
      <c r="G12" s="8">
        <f>0</f>
        <v>0</v>
      </c>
      <c r="H12" s="14" t="s">
        <v>543</v>
      </c>
      <c r="I12" s="14" t="s">
        <v>187</v>
      </c>
      <c r="J12" s="14">
        <v>800000</v>
      </c>
      <c r="K12" s="14">
        <v>0</v>
      </c>
      <c r="L12" s="14"/>
    </row>
    <row r="13" spans="1:12" s="42" customFormat="1" x14ac:dyDescent="0.3">
      <c r="A13" s="42" t="s">
        <v>191</v>
      </c>
      <c r="B13" s="43" t="s">
        <v>544</v>
      </c>
      <c r="C13" s="44" t="s">
        <v>545</v>
      </c>
      <c r="D13" s="5">
        <v>800000</v>
      </c>
      <c r="E13" s="5">
        <f>2000000</f>
        <v>2000000</v>
      </c>
      <c r="F13" s="5">
        <f>1000000</f>
        <v>1000000</v>
      </c>
      <c r="G13" s="8"/>
      <c r="H13" s="14" t="s">
        <v>546</v>
      </c>
      <c r="I13" s="14" t="s">
        <v>187</v>
      </c>
      <c r="J13" s="14">
        <v>1300000</v>
      </c>
      <c r="K13" s="14">
        <v>0</v>
      </c>
      <c r="L13" s="14"/>
    </row>
    <row r="14" spans="1:12" s="42" customFormat="1" x14ac:dyDescent="0.3">
      <c r="A14" s="42" t="s">
        <v>191</v>
      </c>
      <c r="B14" s="43" t="s">
        <v>547</v>
      </c>
      <c r="C14" s="44" t="s">
        <v>548</v>
      </c>
      <c r="D14" s="5">
        <v>500000</v>
      </c>
      <c r="E14" s="5">
        <f>2000000</f>
        <v>2000000</v>
      </c>
      <c r="F14" s="5">
        <f>0</f>
        <v>0</v>
      </c>
      <c r="G14" s="8">
        <f>0</f>
        <v>0</v>
      </c>
      <c r="H14" s="14" t="s">
        <v>546</v>
      </c>
      <c r="I14" s="14" t="s">
        <v>187</v>
      </c>
      <c r="J14" s="14">
        <v>500000</v>
      </c>
      <c r="K14" s="14">
        <v>0</v>
      </c>
      <c r="L14" s="14"/>
    </row>
    <row r="15" spans="1:12" s="42" customFormat="1" x14ac:dyDescent="0.3">
      <c r="A15" s="42" t="s">
        <v>191</v>
      </c>
      <c r="B15" s="43" t="s">
        <v>549</v>
      </c>
      <c r="C15" s="44" t="s">
        <v>550</v>
      </c>
      <c r="D15" s="5">
        <v>2000000</v>
      </c>
      <c r="E15" s="5"/>
      <c r="F15" s="5"/>
      <c r="G15" s="8"/>
      <c r="H15" s="14"/>
      <c r="I15" s="14" t="s">
        <v>187</v>
      </c>
      <c r="J15" s="14">
        <v>2000000</v>
      </c>
      <c r="K15" s="14">
        <v>0</v>
      </c>
      <c r="L15" s="14"/>
    </row>
    <row r="16" spans="1:12" s="42" customFormat="1" x14ac:dyDescent="0.3">
      <c r="A16" s="42" t="s">
        <v>191</v>
      </c>
      <c r="B16" s="43" t="s">
        <v>551</v>
      </c>
      <c r="C16" s="44" t="s">
        <v>552</v>
      </c>
      <c r="D16" s="5">
        <v>500000</v>
      </c>
      <c r="E16" s="5">
        <f>2500000</f>
        <v>2500000</v>
      </c>
      <c r="F16" s="5">
        <f>30000000</f>
        <v>30000000</v>
      </c>
      <c r="G16" s="8">
        <v>20000000</v>
      </c>
      <c r="H16" s="14" t="s">
        <v>546</v>
      </c>
      <c r="I16" s="14" t="s">
        <v>187</v>
      </c>
      <c r="J16" s="14">
        <v>500000</v>
      </c>
      <c r="K16" s="14">
        <v>0</v>
      </c>
      <c r="L16" s="14"/>
    </row>
    <row r="17" spans="1:12" s="42" customFormat="1" x14ac:dyDescent="0.3">
      <c r="A17" s="42" t="s">
        <v>191</v>
      </c>
      <c r="B17" s="43" t="s">
        <v>553</v>
      </c>
      <c r="C17" s="44" t="s">
        <v>554</v>
      </c>
      <c r="D17" s="5">
        <v>5500000</v>
      </c>
      <c r="E17" s="5">
        <f>3000000</f>
        <v>3000000</v>
      </c>
      <c r="F17" s="5">
        <f>10000000</f>
        <v>10000000</v>
      </c>
      <c r="G17" s="8">
        <v>15000000</v>
      </c>
      <c r="H17" s="14"/>
      <c r="I17" s="14" t="s">
        <v>187</v>
      </c>
      <c r="J17" s="14">
        <v>2279628.71</v>
      </c>
      <c r="K17" s="14">
        <v>58.55</v>
      </c>
      <c r="L17" s="14"/>
    </row>
    <row r="18" spans="1:12" s="42" customFormat="1" ht="28.8" x14ac:dyDescent="0.3">
      <c r="B18" s="43"/>
      <c r="C18" s="47" t="s">
        <v>555</v>
      </c>
      <c r="D18" s="5"/>
      <c r="E18" s="5">
        <f>3000000</f>
        <v>3000000</v>
      </c>
      <c r="F18" s="5">
        <f>10000000</f>
        <v>10000000</v>
      </c>
      <c r="G18" s="8">
        <f>15000000</f>
        <v>15000000</v>
      </c>
      <c r="H18" s="14"/>
      <c r="I18" s="14"/>
      <c r="J18" s="14"/>
      <c r="K18" s="14"/>
      <c r="L18" s="14"/>
    </row>
    <row r="19" spans="1:12" s="42" customFormat="1" x14ac:dyDescent="0.3">
      <c r="B19" s="43"/>
      <c r="C19" s="44" t="s">
        <v>556</v>
      </c>
      <c r="D19" s="5"/>
      <c r="E19" s="5">
        <f>5000000</f>
        <v>5000000</v>
      </c>
      <c r="F19" s="5">
        <f>10000000</f>
        <v>10000000</v>
      </c>
      <c r="G19" s="8">
        <f>12000000</f>
        <v>12000000</v>
      </c>
      <c r="H19" s="14"/>
      <c r="I19" s="14"/>
      <c r="J19" s="14"/>
      <c r="K19" s="14"/>
      <c r="L19" s="14"/>
    </row>
    <row r="20" spans="1:12" s="42" customFormat="1" x14ac:dyDescent="0.3">
      <c r="B20" s="43"/>
      <c r="C20" s="44" t="s">
        <v>557</v>
      </c>
      <c r="D20" s="5"/>
      <c r="E20" s="5">
        <v>2000000</v>
      </c>
      <c r="F20" s="5">
        <f>0</f>
        <v>0</v>
      </c>
      <c r="G20" s="8">
        <f>0</f>
        <v>0</v>
      </c>
      <c r="H20" s="14"/>
      <c r="I20" s="14"/>
      <c r="J20" s="14"/>
      <c r="K20" s="14"/>
      <c r="L20" s="14"/>
    </row>
    <row r="21" spans="1:12" s="42" customFormat="1" x14ac:dyDescent="0.3">
      <c r="B21" s="43"/>
      <c r="C21" s="44" t="s">
        <v>558</v>
      </c>
      <c r="D21" s="5"/>
      <c r="E21" s="5">
        <f>1000000</f>
        <v>1000000</v>
      </c>
      <c r="F21" s="5">
        <f>0</f>
        <v>0</v>
      </c>
      <c r="G21" s="8">
        <f>0</f>
        <v>0</v>
      </c>
      <c r="H21" s="14"/>
      <c r="I21" s="14"/>
      <c r="J21" s="14"/>
      <c r="K21" s="14"/>
      <c r="L21" s="14"/>
    </row>
    <row r="22" spans="1:12" s="42" customFormat="1" x14ac:dyDescent="0.3">
      <c r="B22" s="43"/>
      <c r="C22" s="44" t="s">
        <v>559</v>
      </c>
      <c r="D22" s="5"/>
      <c r="E22" s="5">
        <f>5000000</f>
        <v>5000000</v>
      </c>
      <c r="F22" s="5">
        <f>0</f>
        <v>0</v>
      </c>
      <c r="G22" s="8">
        <f>0</f>
        <v>0</v>
      </c>
      <c r="H22" s="14"/>
      <c r="I22" s="14"/>
      <c r="J22" s="14"/>
      <c r="K22" s="14"/>
      <c r="L22" s="14"/>
    </row>
    <row r="23" spans="1:12" s="42" customFormat="1" ht="18.600000000000001" thickBot="1" x14ac:dyDescent="0.4">
      <c r="B23" s="48" t="s">
        <v>526</v>
      </c>
      <c r="C23" s="49"/>
      <c r="D23" s="50">
        <v>12876550</v>
      </c>
      <c r="E23" s="50">
        <f>SUM(E5:E22)</f>
        <v>37000000</v>
      </c>
      <c r="F23" s="50">
        <f>SUM(F5:F17)</f>
        <v>59800000</v>
      </c>
      <c r="G23" s="51">
        <f>SUM(G5:G17)</f>
        <v>67000000</v>
      </c>
      <c r="H23" s="14"/>
      <c r="I23" s="14"/>
      <c r="J23" s="14"/>
      <c r="K23" s="14"/>
      <c r="L23" s="14"/>
    </row>
    <row r="24" spans="1:12" s="42" customFormat="1" ht="15" thickTop="1" x14ac:dyDescent="0.3">
      <c r="B24" s="43"/>
      <c r="C24" s="44"/>
      <c r="D24" s="5">
        <v>0</v>
      </c>
      <c r="E24" s="5"/>
      <c r="F24" s="5"/>
      <c r="G24" s="8"/>
      <c r="H24" s="14"/>
      <c r="I24" s="14"/>
      <c r="J24" s="14"/>
      <c r="K24" s="14"/>
      <c r="L24" s="14"/>
    </row>
    <row r="25" spans="1:12" s="42" customFormat="1" x14ac:dyDescent="0.3">
      <c r="B25" s="43"/>
      <c r="C25" s="44"/>
      <c r="D25" s="5">
        <v>0</v>
      </c>
      <c r="E25" s="5"/>
      <c r="F25" s="5"/>
      <c r="G25" s="8"/>
      <c r="H25" s="14"/>
      <c r="I25" s="14"/>
      <c r="J25" s="14"/>
      <c r="K25" s="14"/>
      <c r="L25" s="14"/>
    </row>
    <row r="26" spans="1:12" s="42" customFormat="1" ht="18" x14ac:dyDescent="0.35">
      <c r="B26" s="52" t="s">
        <v>560</v>
      </c>
      <c r="C26" s="44"/>
      <c r="D26" s="5">
        <v>0</v>
      </c>
      <c r="E26" s="5"/>
      <c r="F26" s="5"/>
      <c r="G26" s="8"/>
      <c r="H26" s="14">
        <f>D41-196000000</f>
        <v>0</v>
      </c>
      <c r="I26" s="14"/>
      <c r="J26" s="14"/>
      <c r="K26" s="14"/>
      <c r="L26" s="14"/>
    </row>
    <row r="27" spans="1:12" s="42" customFormat="1" x14ac:dyDescent="0.3">
      <c r="A27" s="42" t="s">
        <v>191</v>
      </c>
      <c r="B27" s="43" t="s">
        <v>561</v>
      </c>
      <c r="C27" s="44" t="s">
        <v>562</v>
      </c>
      <c r="D27" s="5">
        <v>32698986.649999999</v>
      </c>
      <c r="E27" s="5"/>
      <c r="F27" s="5"/>
      <c r="G27" s="8"/>
      <c r="H27" s="54" t="s">
        <v>563</v>
      </c>
      <c r="I27" s="14" t="s">
        <v>187</v>
      </c>
      <c r="J27" s="14">
        <v>14258226.949999999</v>
      </c>
      <c r="K27" s="14">
        <v>36.659999999999997</v>
      </c>
      <c r="L27" s="14"/>
    </row>
    <row r="28" spans="1:12" s="42" customFormat="1" x14ac:dyDescent="0.3">
      <c r="A28" s="42" t="s">
        <v>191</v>
      </c>
      <c r="B28" s="43" t="s">
        <v>564</v>
      </c>
      <c r="C28" s="44" t="s">
        <v>565</v>
      </c>
      <c r="D28" s="5">
        <v>15003344.449999999</v>
      </c>
      <c r="E28" s="5">
        <f>23250261</f>
        <v>23250261</v>
      </c>
      <c r="F28" s="5"/>
      <c r="G28" s="8"/>
      <c r="H28" s="54" t="s">
        <v>563</v>
      </c>
      <c r="I28" s="14" t="s">
        <v>187</v>
      </c>
      <c r="J28" s="14">
        <v>28224231</v>
      </c>
      <c r="K28" s="14">
        <v>5.65</v>
      </c>
      <c r="L28" s="14"/>
    </row>
    <row r="29" spans="1:12" s="42" customFormat="1" x14ac:dyDescent="0.3">
      <c r="A29" s="42" t="s">
        <v>191</v>
      </c>
      <c r="B29" s="43" t="s">
        <v>566</v>
      </c>
      <c r="C29" s="44" t="s">
        <v>567</v>
      </c>
      <c r="D29" s="5">
        <v>30254267.91</v>
      </c>
      <c r="E29" s="5"/>
      <c r="F29" s="5"/>
      <c r="G29" s="8"/>
      <c r="H29" s="54" t="s">
        <v>563</v>
      </c>
      <c r="I29" s="14" t="s">
        <v>187</v>
      </c>
      <c r="J29" s="14">
        <v>18096567.350000001</v>
      </c>
      <c r="K29" s="14">
        <v>30.39</v>
      </c>
      <c r="L29" s="14"/>
    </row>
    <row r="30" spans="1:12" s="42" customFormat="1" x14ac:dyDescent="0.3">
      <c r="A30" s="42" t="s">
        <v>191</v>
      </c>
      <c r="B30" s="43" t="s">
        <v>568</v>
      </c>
      <c r="C30" s="44" t="s">
        <v>569</v>
      </c>
      <c r="D30" s="5">
        <v>4141513.7399999984</v>
      </c>
      <c r="E30" s="5">
        <f>48361318+51872019-30000000</f>
        <v>70233337</v>
      </c>
      <c r="F30" s="5">
        <f>30000000</f>
        <v>30000000</v>
      </c>
      <c r="G30" s="8"/>
      <c r="H30" s="54" t="s">
        <v>563</v>
      </c>
      <c r="I30" s="14" t="s">
        <v>187</v>
      </c>
      <c r="J30" s="14">
        <v>24024573.390000001</v>
      </c>
      <c r="K30" s="14">
        <v>13.29</v>
      </c>
      <c r="L30" s="14"/>
    </row>
    <row r="31" spans="1:12" s="42" customFormat="1" x14ac:dyDescent="0.3">
      <c r="A31" s="42" t="s">
        <v>191</v>
      </c>
      <c r="B31" s="43" t="s">
        <v>570</v>
      </c>
      <c r="C31" s="44" t="s">
        <v>571</v>
      </c>
      <c r="D31" s="5">
        <v>0</v>
      </c>
      <c r="E31" s="5">
        <v>5000000</v>
      </c>
      <c r="F31" s="5">
        <f>50000000</f>
        <v>50000000</v>
      </c>
      <c r="G31" s="8">
        <f>35000000</f>
        <v>35000000</v>
      </c>
      <c r="H31" s="14" t="s">
        <v>572</v>
      </c>
      <c r="I31" s="14" t="s">
        <v>187</v>
      </c>
      <c r="J31" s="14">
        <v>10000000</v>
      </c>
      <c r="K31" s="14">
        <v>0</v>
      </c>
      <c r="L31" s="14"/>
    </row>
    <row r="32" spans="1:12" s="42" customFormat="1" x14ac:dyDescent="0.3">
      <c r="A32" s="42" t="s">
        <v>191</v>
      </c>
      <c r="B32" s="43" t="s">
        <v>573</v>
      </c>
      <c r="C32" s="44" t="s">
        <v>574</v>
      </c>
      <c r="D32" s="5">
        <v>50549342</v>
      </c>
      <c r="E32" s="5">
        <v>15000000</v>
      </c>
      <c r="F32" s="5">
        <v>10000000</v>
      </c>
      <c r="G32" s="8">
        <f>0</f>
        <v>0</v>
      </c>
      <c r="H32" s="54" t="s">
        <v>563</v>
      </c>
      <c r="I32" s="14" t="s">
        <v>187</v>
      </c>
      <c r="J32" s="14">
        <v>28949263.34</v>
      </c>
      <c r="K32" s="14">
        <v>9.5299999999999994</v>
      </c>
      <c r="L32" s="14"/>
    </row>
    <row r="33" spans="1:12" s="42" customFormat="1" x14ac:dyDescent="0.3">
      <c r="A33" s="42" t="s">
        <v>191</v>
      </c>
      <c r="B33" s="43" t="s">
        <v>575</v>
      </c>
      <c r="C33" s="44" t="s">
        <v>576</v>
      </c>
      <c r="D33" s="5">
        <v>5000000</v>
      </c>
      <c r="E33" s="5">
        <f>10515157+9000000+3608238+15257462</f>
        <v>38380857</v>
      </c>
      <c r="F33" s="5"/>
      <c r="G33" s="8"/>
      <c r="H33" s="54" t="s">
        <v>563</v>
      </c>
      <c r="I33" s="14" t="s">
        <v>187</v>
      </c>
      <c r="J33" s="14">
        <v>5000000</v>
      </c>
      <c r="K33" s="14">
        <v>0</v>
      </c>
      <c r="L33" s="14"/>
    </row>
    <row r="34" spans="1:12" s="42" customFormat="1" x14ac:dyDescent="0.3">
      <c r="A34" s="42" t="s">
        <v>191</v>
      </c>
      <c r="B34" s="43" t="s">
        <v>577</v>
      </c>
      <c r="C34" s="44" t="s">
        <v>578</v>
      </c>
      <c r="D34" s="5">
        <v>25000000</v>
      </c>
      <c r="E34" s="5">
        <f>65195821+14752230-30000000-10000000-812506</f>
        <v>39135545</v>
      </c>
      <c r="F34" s="5"/>
      <c r="G34" s="8"/>
      <c r="H34" s="54" t="s">
        <v>563</v>
      </c>
      <c r="I34" s="14" t="s">
        <v>187</v>
      </c>
      <c r="J34" s="14">
        <v>24244944</v>
      </c>
      <c r="K34" s="14">
        <v>0</v>
      </c>
      <c r="L34" s="14"/>
    </row>
    <row r="35" spans="1:12" s="42" customFormat="1" x14ac:dyDescent="0.3">
      <c r="A35" s="42" t="s">
        <v>191</v>
      </c>
      <c r="B35" s="43" t="s">
        <v>579</v>
      </c>
      <c r="C35" s="44" t="s">
        <v>580</v>
      </c>
      <c r="D35" s="5">
        <v>20804445.109999999</v>
      </c>
      <c r="E35" s="5"/>
      <c r="F35" s="5"/>
      <c r="G35" s="8"/>
      <c r="H35" s="54" t="s">
        <v>563</v>
      </c>
      <c r="I35" s="14" t="s">
        <v>187</v>
      </c>
      <c r="J35" s="14">
        <v>13756184</v>
      </c>
      <c r="K35" s="14">
        <v>23.46</v>
      </c>
      <c r="L35" s="14"/>
    </row>
    <row r="36" spans="1:12" s="42" customFormat="1" x14ac:dyDescent="0.3">
      <c r="A36" s="42" t="s">
        <v>191</v>
      </c>
      <c r="B36" s="43" t="s">
        <v>581</v>
      </c>
      <c r="C36" s="44" t="s">
        <v>582</v>
      </c>
      <c r="D36" s="5">
        <v>5097442.1399999997</v>
      </c>
      <c r="E36" s="5"/>
      <c r="F36" s="5"/>
      <c r="G36" s="8"/>
      <c r="H36" s="54" t="s">
        <v>563</v>
      </c>
      <c r="I36" s="14" t="s">
        <v>187</v>
      </c>
      <c r="J36" s="14">
        <v>6143700</v>
      </c>
      <c r="K36" s="14">
        <v>0</v>
      </c>
      <c r="L36" s="14"/>
    </row>
    <row r="37" spans="1:12" s="42" customFormat="1" x14ac:dyDescent="0.3">
      <c r="A37" s="42" t="s">
        <v>191</v>
      </c>
      <c r="B37" s="43" t="s">
        <v>583</v>
      </c>
      <c r="C37" s="44" t="s">
        <v>584</v>
      </c>
      <c r="D37" s="5">
        <v>0</v>
      </c>
      <c r="E37" s="5">
        <f>24000000</f>
        <v>24000000</v>
      </c>
      <c r="F37" s="5">
        <f>24000000</f>
        <v>24000000</v>
      </c>
      <c r="G37" s="8"/>
      <c r="H37" s="14" t="s">
        <v>572</v>
      </c>
      <c r="I37" s="14" t="s">
        <v>187</v>
      </c>
      <c r="J37" s="14">
        <v>35000000</v>
      </c>
      <c r="K37" s="14">
        <v>0</v>
      </c>
      <c r="L37" s="14"/>
    </row>
    <row r="38" spans="1:12" s="42" customFormat="1" x14ac:dyDescent="0.3">
      <c r="A38" s="42" t="s">
        <v>191</v>
      </c>
      <c r="B38" s="43" t="s">
        <v>585</v>
      </c>
      <c r="C38" s="44" t="s">
        <v>586</v>
      </c>
      <c r="D38" s="5">
        <v>0</v>
      </c>
      <c r="E38" s="5"/>
      <c r="F38" s="5"/>
      <c r="G38" s="8"/>
      <c r="H38" s="14" t="s">
        <v>572</v>
      </c>
      <c r="I38" s="14" t="s">
        <v>187</v>
      </c>
      <c r="J38" s="14">
        <v>5000000</v>
      </c>
      <c r="K38" s="14">
        <v>0</v>
      </c>
      <c r="L38" s="14"/>
    </row>
    <row r="39" spans="1:12" s="42" customFormat="1" x14ac:dyDescent="0.3">
      <c r="A39" s="42" t="s">
        <v>191</v>
      </c>
      <c r="B39" s="43" t="s">
        <v>587</v>
      </c>
      <c r="C39" s="44" t="s">
        <v>588</v>
      </c>
      <c r="D39" s="5">
        <v>7450658</v>
      </c>
      <c r="E39" s="5"/>
      <c r="F39" s="5"/>
      <c r="G39" s="8"/>
      <c r="H39" s="54" t="s">
        <v>563</v>
      </c>
      <c r="I39" s="14" t="s">
        <v>187</v>
      </c>
      <c r="J39" s="14">
        <v>3137855.38</v>
      </c>
      <c r="K39" s="14">
        <v>10.34</v>
      </c>
      <c r="L39" s="14"/>
    </row>
    <row r="40" spans="1:12" s="42" customFormat="1" x14ac:dyDescent="0.3">
      <c r="A40" s="42" t="s">
        <v>191</v>
      </c>
      <c r="B40" s="43"/>
      <c r="C40" s="44" t="s">
        <v>589</v>
      </c>
      <c r="D40" s="5"/>
      <c r="E40" s="5">
        <f>0</f>
        <v>0</v>
      </c>
      <c r="F40" s="5">
        <f>51000000</f>
        <v>51000000</v>
      </c>
      <c r="G40" s="8">
        <f>55000000</f>
        <v>55000000</v>
      </c>
      <c r="H40" s="54"/>
      <c r="I40" s="14"/>
      <c r="J40" s="14"/>
      <c r="K40" s="14"/>
      <c r="L40" s="14"/>
    </row>
    <row r="41" spans="1:12" s="42" customFormat="1" ht="28.2" customHeight="1" thickBot="1" x14ac:dyDescent="0.4">
      <c r="B41" s="48" t="s">
        <v>560</v>
      </c>
      <c r="C41" s="49"/>
      <c r="D41" s="50">
        <v>196000000</v>
      </c>
      <c r="E41" s="50">
        <f>SUM(E27:E40)</f>
        <v>215000000</v>
      </c>
      <c r="F41" s="50">
        <f>SUM(F27:F40)</f>
        <v>165000000</v>
      </c>
      <c r="G41" s="51">
        <f>SUM(G28:G40)</f>
        <v>90000000</v>
      </c>
      <c r="H41" s="55"/>
      <c r="I41" s="55">
        <f>SUM(I27:I39)</f>
        <v>0</v>
      </c>
      <c r="J41" s="55">
        <f>SUM(J27:J39)</f>
        <v>215835545.41</v>
      </c>
      <c r="K41" s="55">
        <f>SUM(K27:K39)</f>
        <v>129.32</v>
      </c>
      <c r="L41" s="55"/>
    </row>
    <row r="42" spans="1:12" s="42" customFormat="1" ht="15" thickTop="1" x14ac:dyDescent="0.3">
      <c r="B42" s="43"/>
      <c r="C42" s="44"/>
      <c r="D42" s="5">
        <v>0</v>
      </c>
      <c r="E42" s="5"/>
      <c r="F42" s="5"/>
      <c r="G42" s="8"/>
      <c r="H42" s="14"/>
      <c r="I42" s="14"/>
      <c r="J42" s="14"/>
      <c r="K42" s="14"/>
      <c r="L42" s="14"/>
    </row>
    <row r="43" spans="1:12" s="42" customFormat="1" ht="21" x14ac:dyDescent="0.4">
      <c r="B43" s="56" t="s">
        <v>590</v>
      </c>
      <c r="C43" s="44"/>
      <c r="D43" s="5"/>
      <c r="E43" s="5"/>
      <c r="F43" s="5"/>
      <c r="G43" s="8"/>
      <c r="H43" s="14"/>
      <c r="I43" s="14"/>
      <c r="J43" s="14"/>
      <c r="K43" s="14"/>
      <c r="L43" s="14"/>
    </row>
    <row r="44" spans="1:12" s="42" customFormat="1" x14ac:dyDescent="0.3">
      <c r="A44" s="42" t="s">
        <v>191</v>
      </c>
      <c r="B44" s="43" t="s">
        <v>591</v>
      </c>
      <c r="C44" s="44" t="s">
        <v>592</v>
      </c>
      <c r="D44" s="5">
        <v>3085203</v>
      </c>
      <c r="E44" s="5"/>
      <c r="F44" s="5"/>
      <c r="G44" s="8"/>
      <c r="H44" s="14" t="s">
        <v>593</v>
      </c>
      <c r="I44" s="14" t="s">
        <v>187</v>
      </c>
      <c r="J44" s="14">
        <v>3800666.2</v>
      </c>
      <c r="K44" s="14">
        <v>26.7</v>
      </c>
      <c r="L44" s="14"/>
    </row>
    <row r="45" spans="1:12" s="42" customFormat="1" x14ac:dyDescent="0.3">
      <c r="A45" s="42" t="s">
        <v>191</v>
      </c>
      <c r="B45" s="43" t="s">
        <v>594</v>
      </c>
      <c r="C45" s="44" t="s">
        <v>595</v>
      </c>
      <c r="D45" s="5">
        <v>0</v>
      </c>
      <c r="E45" s="5"/>
      <c r="F45" s="5"/>
      <c r="G45" s="8"/>
      <c r="H45" s="14" t="s">
        <v>593</v>
      </c>
      <c r="I45" s="14" t="s">
        <v>187</v>
      </c>
      <c r="J45" s="14">
        <v>3000000</v>
      </c>
      <c r="K45" s="14">
        <v>0</v>
      </c>
      <c r="L45" s="14"/>
    </row>
    <row r="46" spans="1:12" s="42" customFormat="1" x14ac:dyDescent="0.3">
      <c r="A46" s="42" t="s">
        <v>191</v>
      </c>
      <c r="B46" s="43" t="s">
        <v>596</v>
      </c>
      <c r="C46" s="44" t="s">
        <v>597</v>
      </c>
      <c r="D46" s="5">
        <f>7000000+500000</f>
        <v>7500000</v>
      </c>
      <c r="E46" s="5"/>
      <c r="F46" s="5"/>
      <c r="G46" s="8"/>
      <c r="H46" s="14" t="s">
        <v>593</v>
      </c>
      <c r="I46" s="14" t="s">
        <v>187</v>
      </c>
      <c r="J46" s="14">
        <v>4000000</v>
      </c>
      <c r="K46" s="14">
        <v>0</v>
      </c>
      <c r="L46" s="14"/>
    </row>
    <row r="47" spans="1:12" s="42" customFormat="1" x14ac:dyDescent="0.3">
      <c r="A47" s="42" t="s">
        <v>191</v>
      </c>
      <c r="B47" s="43" t="s">
        <v>598</v>
      </c>
      <c r="C47" s="44" t="s">
        <v>599</v>
      </c>
      <c r="D47" s="5">
        <v>7400000</v>
      </c>
      <c r="E47" s="5"/>
      <c r="F47" s="5"/>
      <c r="G47" s="8"/>
      <c r="H47" s="14" t="s">
        <v>593</v>
      </c>
      <c r="I47" s="14" t="s">
        <v>187</v>
      </c>
      <c r="J47" s="14">
        <v>8000000</v>
      </c>
      <c r="K47" s="14">
        <v>0</v>
      </c>
      <c r="L47" s="14"/>
    </row>
    <row r="48" spans="1:12" s="42" customFormat="1" x14ac:dyDescent="0.3">
      <c r="A48" s="42" t="s">
        <v>191</v>
      </c>
      <c r="B48" s="43" t="s">
        <v>600</v>
      </c>
      <c r="C48" s="44" t="s">
        <v>601</v>
      </c>
      <c r="D48" s="5">
        <v>0</v>
      </c>
      <c r="E48" s="5"/>
      <c r="F48" s="5"/>
      <c r="G48" s="8">
        <f>10300000</f>
        <v>10300000</v>
      </c>
      <c r="H48" s="14"/>
      <c r="I48" s="14" t="s">
        <v>187</v>
      </c>
      <c r="J48" s="14">
        <v>3000000</v>
      </c>
      <c r="K48" s="14">
        <v>0</v>
      </c>
      <c r="L48" s="14"/>
    </row>
    <row r="49" spans="1:12" s="42" customFormat="1" x14ac:dyDescent="0.3">
      <c r="A49" s="42" t="s">
        <v>191</v>
      </c>
      <c r="B49" s="43" t="s">
        <v>602</v>
      </c>
      <c r="C49" s="44" t="s">
        <v>603</v>
      </c>
      <c r="D49" s="5">
        <v>1000000</v>
      </c>
      <c r="E49" s="5"/>
      <c r="F49" s="5"/>
      <c r="G49" s="8"/>
      <c r="H49" s="14" t="s">
        <v>593</v>
      </c>
      <c r="I49" s="14" t="s">
        <v>187</v>
      </c>
      <c r="J49" s="14">
        <v>6500000</v>
      </c>
      <c r="K49" s="14">
        <v>0</v>
      </c>
      <c r="L49" s="14"/>
    </row>
    <row r="50" spans="1:12" s="42" customFormat="1" x14ac:dyDescent="0.3">
      <c r="A50" s="42" t="s">
        <v>191</v>
      </c>
      <c r="B50" s="43" t="s">
        <v>604</v>
      </c>
      <c r="C50" s="44" t="s">
        <v>605</v>
      </c>
      <c r="D50" s="5">
        <f>4353179+800000</f>
        <v>5153179</v>
      </c>
      <c r="E50" s="5"/>
      <c r="F50" s="5"/>
      <c r="G50" s="8"/>
      <c r="H50" s="14"/>
      <c r="I50" s="14" t="s">
        <v>187</v>
      </c>
      <c r="J50" s="14">
        <v>2353179</v>
      </c>
      <c r="K50" s="14">
        <v>0</v>
      </c>
      <c r="L50" s="14"/>
    </row>
    <row r="51" spans="1:12" s="42" customFormat="1" x14ac:dyDescent="0.3">
      <c r="A51" s="42" t="s">
        <v>191</v>
      </c>
      <c r="B51" s="43" t="s">
        <v>606</v>
      </c>
      <c r="C51" s="44" t="s">
        <v>607</v>
      </c>
      <c r="D51" s="5">
        <v>0</v>
      </c>
      <c r="E51" s="5"/>
      <c r="F51" s="5"/>
      <c r="G51" s="8"/>
      <c r="H51" s="14" t="s">
        <v>593</v>
      </c>
      <c r="I51" s="14" t="s">
        <v>187</v>
      </c>
      <c r="J51" s="14">
        <v>3000000</v>
      </c>
      <c r="K51" s="14">
        <v>0</v>
      </c>
      <c r="L51" s="14"/>
    </row>
    <row r="52" spans="1:12" s="42" customFormat="1" x14ac:dyDescent="0.3">
      <c r="A52" s="42" t="s">
        <v>191</v>
      </c>
      <c r="B52" s="43" t="s">
        <v>608</v>
      </c>
      <c r="C52" s="44" t="s">
        <v>609</v>
      </c>
      <c r="D52" s="5">
        <v>0</v>
      </c>
      <c r="E52" s="5"/>
      <c r="F52" s="5"/>
      <c r="G52" s="8"/>
      <c r="H52" s="14" t="s">
        <v>610</v>
      </c>
      <c r="I52" s="14" t="s">
        <v>187</v>
      </c>
      <c r="J52" s="14">
        <v>14000000</v>
      </c>
      <c r="K52" s="14">
        <v>0</v>
      </c>
      <c r="L52" s="14"/>
    </row>
    <row r="53" spans="1:12" s="42" customFormat="1" x14ac:dyDescent="0.3">
      <c r="B53" s="43"/>
      <c r="C53" s="44" t="s">
        <v>687</v>
      </c>
      <c r="D53" s="5">
        <v>1000000</v>
      </c>
      <c r="E53" s="5"/>
      <c r="F53" s="5"/>
      <c r="G53" s="8"/>
      <c r="H53" s="14"/>
      <c r="I53" s="14"/>
      <c r="J53" s="14"/>
      <c r="K53" s="14"/>
      <c r="L53" s="14"/>
    </row>
    <row r="54" spans="1:12" s="42" customFormat="1" x14ac:dyDescent="0.3">
      <c r="B54" s="43"/>
      <c r="C54" s="44" t="s">
        <v>688</v>
      </c>
      <c r="D54" s="5">
        <v>1400000</v>
      </c>
      <c r="E54" s="5"/>
      <c r="F54" s="5"/>
      <c r="G54" s="8"/>
      <c r="H54" s="14"/>
      <c r="I54" s="14"/>
      <c r="J54" s="14"/>
      <c r="K54" s="14"/>
      <c r="L54" s="14"/>
    </row>
    <row r="55" spans="1:12" s="42" customFormat="1" x14ac:dyDescent="0.3">
      <c r="B55" s="43"/>
      <c r="C55" s="44" t="s">
        <v>689</v>
      </c>
      <c r="D55" s="5">
        <v>1500000</v>
      </c>
      <c r="E55" s="5"/>
      <c r="F55" s="5"/>
      <c r="G55" s="8"/>
      <c r="H55" s="14"/>
      <c r="I55" s="14"/>
      <c r="J55" s="14"/>
      <c r="K55" s="14"/>
      <c r="L55" s="14"/>
    </row>
    <row r="56" spans="1:12" s="42" customFormat="1" x14ac:dyDescent="0.3">
      <c r="B56" s="43"/>
      <c r="C56" s="44" t="s">
        <v>690</v>
      </c>
      <c r="D56" s="5">
        <v>1000000</v>
      </c>
      <c r="E56" s="5"/>
      <c r="F56" s="5"/>
      <c r="G56" s="8"/>
      <c r="H56" s="14"/>
      <c r="I56" s="14"/>
      <c r="J56" s="14"/>
      <c r="K56" s="14"/>
      <c r="L56" s="14"/>
    </row>
    <row r="57" spans="1:12" s="42" customFormat="1" x14ac:dyDescent="0.3">
      <c r="B57" s="43"/>
      <c r="C57" s="44" t="s">
        <v>691</v>
      </c>
      <c r="D57" s="5">
        <v>1500000</v>
      </c>
      <c r="E57" s="5"/>
      <c r="F57" s="5"/>
      <c r="G57" s="8"/>
      <c r="H57" s="14"/>
      <c r="I57" s="14"/>
      <c r="J57" s="14"/>
      <c r="K57" s="14"/>
      <c r="L57" s="14"/>
    </row>
    <row r="58" spans="1:12" s="42" customFormat="1" x14ac:dyDescent="0.3">
      <c r="B58" s="43"/>
      <c r="C58" s="44" t="s">
        <v>692</v>
      </c>
      <c r="D58" s="5">
        <v>500000</v>
      </c>
      <c r="E58" s="5"/>
      <c r="F58" s="5"/>
      <c r="G58" s="8"/>
      <c r="H58" s="14"/>
      <c r="I58" s="14"/>
      <c r="J58" s="14"/>
      <c r="K58" s="14"/>
      <c r="L58" s="14"/>
    </row>
    <row r="59" spans="1:12" s="42" customFormat="1" x14ac:dyDescent="0.3">
      <c r="B59" s="43"/>
      <c r="C59" s="44" t="s">
        <v>693</v>
      </c>
      <c r="D59" s="5">
        <v>1200000</v>
      </c>
      <c r="E59" s="5"/>
      <c r="F59" s="5"/>
      <c r="G59" s="8"/>
      <c r="H59" s="14"/>
      <c r="I59" s="14"/>
      <c r="J59" s="14"/>
      <c r="K59" s="14"/>
      <c r="L59" s="14"/>
    </row>
    <row r="60" spans="1:12" s="42" customFormat="1" x14ac:dyDescent="0.3">
      <c r="B60" s="43"/>
      <c r="C60" s="44" t="s">
        <v>694</v>
      </c>
      <c r="D60" s="5">
        <v>1600000</v>
      </c>
      <c r="E60" s="5"/>
      <c r="F60" s="5"/>
      <c r="G60" s="8"/>
      <c r="H60" s="14"/>
      <c r="I60" s="14"/>
      <c r="J60" s="14"/>
      <c r="K60" s="14"/>
      <c r="L60" s="14"/>
    </row>
    <row r="61" spans="1:12" s="42" customFormat="1" x14ac:dyDescent="0.3">
      <c r="B61" s="43"/>
      <c r="C61" s="44" t="s">
        <v>696</v>
      </c>
      <c r="D61" s="5">
        <v>4000000</v>
      </c>
      <c r="E61" s="5"/>
      <c r="F61" s="5"/>
      <c r="G61" s="8"/>
      <c r="H61" s="14"/>
      <c r="I61" s="14"/>
      <c r="J61" s="14"/>
      <c r="K61" s="14"/>
      <c r="L61" s="14"/>
    </row>
    <row r="62" spans="1:12" s="42" customFormat="1" x14ac:dyDescent="0.3">
      <c r="B62" s="43"/>
      <c r="C62" s="44" t="s">
        <v>695</v>
      </c>
      <c r="D62" s="5">
        <v>1000000</v>
      </c>
      <c r="E62" s="5"/>
      <c r="F62" s="5"/>
      <c r="G62" s="8"/>
      <c r="H62" s="14"/>
      <c r="I62" s="14"/>
      <c r="J62" s="14"/>
      <c r="K62" s="14"/>
      <c r="L62" s="14"/>
    </row>
    <row r="63" spans="1:12" s="42" customFormat="1" x14ac:dyDescent="0.3">
      <c r="A63" s="42" t="s">
        <v>191</v>
      </c>
      <c r="B63" s="43" t="s">
        <v>611</v>
      </c>
      <c r="C63" s="44" t="s">
        <v>612</v>
      </c>
      <c r="D63" s="5">
        <v>6600000</v>
      </c>
      <c r="E63" s="5">
        <v>7500000</v>
      </c>
      <c r="F63" s="5">
        <v>5500000</v>
      </c>
      <c r="G63" s="8">
        <v>6000000</v>
      </c>
      <c r="H63" s="14" t="s">
        <v>610</v>
      </c>
      <c r="I63" s="14" t="s">
        <v>187</v>
      </c>
      <c r="J63" s="14">
        <v>5000000</v>
      </c>
      <c r="K63" s="14">
        <v>0</v>
      </c>
      <c r="L63" s="14"/>
    </row>
    <row r="64" spans="1:12" s="42" customFormat="1" x14ac:dyDescent="0.3">
      <c r="A64" s="42" t="s">
        <v>191</v>
      </c>
      <c r="B64" s="43" t="s">
        <v>613</v>
      </c>
      <c r="C64" s="44" t="s">
        <v>614</v>
      </c>
      <c r="D64" s="5">
        <v>7961618</v>
      </c>
      <c r="E64" s="5">
        <v>4000000</v>
      </c>
      <c r="F64" s="5"/>
      <c r="G64" s="8"/>
      <c r="H64" s="14" t="s">
        <v>610</v>
      </c>
      <c r="I64" s="14" t="s">
        <v>187</v>
      </c>
      <c r="J64" s="14">
        <v>3961618</v>
      </c>
      <c r="K64" s="14">
        <v>0</v>
      </c>
      <c r="L64" s="14"/>
    </row>
    <row r="65" spans="1:12" s="42" customFormat="1" x14ac:dyDescent="0.3">
      <c r="A65" s="42" t="s">
        <v>191</v>
      </c>
      <c r="B65" s="43" t="s">
        <v>615</v>
      </c>
      <c r="C65" s="44" t="s">
        <v>616</v>
      </c>
      <c r="D65" s="5">
        <v>5600000</v>
      </c>
      <c r="E65" s="5"/>
      <c r="F65" s="5"/>
      <c r="G65" s="8"/>
      <c r="H65" s="14"/>
      <c r="I65" s="14" t="s">
        <v>187</v>
      </c>
      <c r="J65" s="14">
        <v>3626854.28</v>
      </c>
      <c r="K65" s="14">
        <v>9.32</v>
      </c>
      <c r="L65" s="14"/>
    </row>
    <row r="66" spans="1:12" s="42" customFormat="1" x14ac:dyDescent="0.3">
      <c r="B66" s="43"/>
      <c r="C66" s="44" t="s">
        <v>617</v>
      </c>
      <c r="D66" s="5">
        <v>0</v>
      </c>
      <c r="E66" s="5"/>
      <c r="F66" s="5"/>
      <c r="G66" s="8"/>
      <c r="H66" s="14" t="s">
        <v>593</v>
      </c>
      <c r="I66" s="14"/>
      <c r="J66" s="14"/>
      <c r="K66" s="14"/>
      <c r="L66" s="14"/>
    </row>
    <row r="67" spans="1:12" s="42" customFormat="1" x14ac:dyDescent="0.3">
      <c r="B67" s="43"/>
      <c r="C67" s="44" t="s">
        <v>618</v>
      </c>
      <c r="D67" s="5">
        <v>3000000</v>
      </c>
      <c r="E67" s="5"/>
      <c r="F67" s="5"/>
      <c r="G67" s="8"/>
      <c r="H67" s="14" t="s">
        <v>610</v>
      </c>
      <c r="I67" s="14"/>
      <c r="J67" s="14"/>
      <c r="K67" s="14"/>
      <c r="L67" s="14"/>
    </row>
    <row r="68" spans="1:12" s="42" customFormat="1" ht="18" customHeight="1" x14ac:dyDescent="0.3">
      <c r="B68" s="43"/>
      <c r="C68" s="44" t="s">
        <v>619</v>
      </c>
      <c r="D68" s="5">
        <v>3000000</v>
      </c>
      <c r="E68" s="5"/>
      <c r="F68" s="5"/>
      <c r="G68" s="8"/>
      <c r="H68" s="14" t="s">
        <v>610</v>
      </c>
      <c r="I68" s="14"/>
      <c r="J68" s="14"/>
      <c r="K68" s="14"/>
      <c r="L68" s="14"/>
    </row>
    <row r="69" spans="1:12" s="42" customFormat="1" ht="18" customHeight="1" x14ac:dyDescent="0.3">
      <c r="B69" s="43"/>
      <c r="C69" s="57" t="s">
        <v>620</v>
      </c>
      <c r="D69" s="5">
        <v>2400000</v>
      </c>
      <c r="E69" s="5"/>
      <c r="F69" s="5"/>
      <c r="G69" s="8"/>
      <c r="H69" s="14" t="s">
        <v>621</v>
      </c>
      <c r="I69" s="14"/>
      <c r="J69" s="14"/>
      <c r="K69" s="14"/>
      <c r="L69" s="14"/>
    </row>
    <row r="70" spans="1:12" s="42" customFormat="1" ht="18" customHeight="1" x14ac:dyDescent="0.3">
      <c r="B70" s="43"/>
      <c r="C70" s="57" t="s">
        <v>622</v>
      </c>
      <c r="D70" s="5">
        <v>1505665.91</v>
      </c>
      <c r="E70" s="5">
        <v>3000000</v>
      </c>
      <c r="F70" s="5"/>
      <c r="G70" s="8"/>
      <c r="H70" s="14" t="s">
        <v>621</v>
      </c>
      <c r="I70" s="14"/>
      <c r="J70" s="14"/>
      <c r="K70" s="14"/>
      <c r="L70" s="14"/>
    </row>
    <row r="71" spans="1:12" s="42" customFormat="1" ht="18" customHeight="1" x14ac:dyDescent="0.3">
      <c r="B71" s="43"/>
      <c r="C71" s="57" t="s">
        <v>623</v>
      </c>
      <c r="D71" s="5">
        <v>520000</v>
      </c>
      <c r="E71" s="5"/>
      <c r="F71" s="5"/>
      <c r="G71" s="8"/>
      <c r="H71" s="14" t="s">
        <v>621</v>
      </c>
      <c r="I71" s="14"/>
      <c r="J71" s="14"/>
      <c r="K71" s="14"/>
      <c r="L71" s="14"/>
    </row>
    <row r="72" spans="1:12" s="42" customFormat="1" ht="18" customHeight="1" x14ac:dyDescent="0.3">
      <c r="B72" s="43"/>
      <c r="C72" s="57" t="s">
        <v>624</v>
      </c>
      <c r="D72" s="5">
        <v>677225.77</v>
      </c>
      <c r="E72" s="5"/>
      <c r="F72" s="5"/>
      <c r="G72" s="8"/>
      <c r="H72" s="14" t="s">
        <v>621</v>
      </c>
      <c r="I72" s="14"/>
      <c r="J72" s="14"/>
      <c r="K72" s="14"/>
      <c r="L72" s="14"/>
    </row>
    <row r="73" spans="1:12" s="42" customFormat="1" ht="25.8" customHeight="1" x14ac:dyDescent="0.3">
      <c r="B73" s="43"/>
      <c r="C73" s="57" t="s">
        <v>625</v>
      </c>
      <c r="D73" s="5">
        <v>1967108.32</v>
      </c>
      <c r="E73" s="5">
        <f>15284400</f>
        <v>15284400</v>
      </c>
      <c r="F73" s="5">
        <f>10000000</f>
        <v>10000000</v>
      </c>
      <c r="G73" s="8">
        <f>5000000</f>
        <v>5000000</v>
      </c>
      <c r="H73" s="14" t="s">
        <v>621</v>
      </c>
      <c r="I73" s="14"/>
      <c r="J73" s="14"/>
      <c r="K73" s="14"/>
      <c r="L73" s="14"/>
    </row>
    <row r="74" spans="1:12" s="42" customFormat="1" ht="18" customHeight="1" x14ac:dyDescent="0.3">
      <c r="B74" s="43"/>
      <c r="C74" s="57" t="s">
        <v>626</v>
      </c>
      <c r="D74" s="5">
        <v>700000</v>
      </c>
      <c r="E74" s="5"/>
      <c r="F74" s="5"/>
      <c r="G74" s="8"/>
      <c r="H74" s="14" t="s">
        <v>621</v>
      </c>
      <c r="I74" s="14"/>
      <c r="J74" s="14"/>
      <c r="K74" s="14"/>
      <c r="L74" s="14"/>
    </row>
    <row r="75" spans="1:12" s="42" customFormat="1" ht="18" customHeight="1" x14ac:dyDescent="0.3">
      <c r="B75" s="43"/>
      <c r="C75" s="57" t="s">
        <v>627</v>
      </c>
      <c r="D75" s="5">
        <v>260000</v>
      </c>
      <c r="E75" s="5"/>
      <c r="F75" s="5"/>
      <c r="G75" s="8"/>
      <c r="H75" s="14" t="s">
        <v>621</v>
      </c>
      <c r="I75" s="14"/>
      <c r="J75" s="14"/>
      <c r="K75" s="14"/>
      <c r="L75" s="14"/>
    </row>
    <row r="76" spans="1:12" s="42" customFormat="1" ht="18" customHeight="1" x14ac:dyDescent="0.3">
      <c r="B76" s="43"/>
      <c r="C76" s="57" t="s">
        <v>628</v>
      </c>
      <c r="D76" s="5">
        <v>70000</v>
      </c>
      <c r="E76" s="5"/>
      <c r="F76" s="5"/>
      <c r="G76" s="8"/>
      <c r="H76" s="14" t="s">
        <v>621</v>
      </c>
      <c r="I76" s="14"/>
      <c r="J76" s="14"/>
      <c r="K76" s="14"/>
      <c r="L76" s="14"/>
    </row>
    <row r="77" spans="1:12" s="42" customFormat="1" ht="18" customHeight="1" x14ac:dyDescent="0.3">
      <c r="B77" s="43"/>
      <c r="C77" s="57" t="s">
        <v>629</v>
      </c>
      <c r="D77" s="5"/>
      <c r="E77" s="5">
        <f>0</f>
        <v>0</v>
      </c>
      <c r="F77" s="5">
        <f>7000000</f>
        <v>7000000</v>
      </c>
      <c r="G77" s="8"/>
      <c r="H77" s="14"/>
      <c r="I77" s="14"/>
      <c r="J77" s="14"/>
      <c r="K77" s="14"/>
      <c r="L77" s="14"/>
    </row>
    <row r="78" spans="1:12" s="42" customFormat="1" ht="18" customHeight="1" x14ac:dyDescent="0.3">
      <c r="B78" s="43"/>
      <c r="C78" s="57" t="s">
        <v>630</v>
      </c>
      <c r="D78" s="5"/>
      <c r="E78" s="5"/>
      <c r="F78" s="5"/>
      <c r="G78" s="8">
        <f>6000000</f>
        <v>6000000</v>
      </c>
      <c r="H78" s="14"/>
      <c r="I78" s="14"/>
      <c r="J78" s="14"/>
      <c r="K78" s="14"/>
      <c r="L78" s="14"/>
    </row>
    <row r="79" spans="1:12" s="42" customFormat="1" ht="18" customHeight="1" x14ac:dyDescent="0.3">
      <c r="B79" s="43"/>
      <c r="C79" s="57" t="s">
        <v>631</v>
      </c>
      <c r="D79" s="5"/>
      <c r="E79" s="5"/>
      <c r="F79" s="5">
        <f>4500000</f>
        <v>4500000</v>
      </c>
      <c r="G79" s="8"/>
      <c r="H79" s="14"/>
      <c r="I79" s="14"/>
      <c r="J79" s="14"/>
      <c r="K79" s="14"/>
      <c r="L79" s="14"/>
    </row>
    <row r="80" spans="1:12" s="42" customFormat="1" ht="18" customHeight="1" x14ac:dyDescent="0.3">
      <c r="B80" s="43"/>
      <c r="C80" s="57" t="s">
        <v>632</v>
      </c>
      <c r="D80" s="5"/>
      <c r="E80" s="5">
        <f>1000000</f>
        <v>1000000</v>
      </c>
      <c r="F80" s="5">
        <f>5600000</f>
        <v>5600000</v>
      </c>
      <c r="G80" s="8"/>
      <c r="H80" s="14"/>
      <c r="I80" s="14"/>
      <c r="J80" s="14"/>
      <c r="K80" s="14"/>
      <c r="L80" s="14"/>
    </row>
    <row r="81" spans="2:12" s="42" customFormat="1" ht="18" customHeight="1" x14ac:dyDescent="0.3">
      <c r="B81" s="43"/>
      <c r="C81" s="57" t="s">
        <v>633</v>
      </c>
      <c r="D81" s="5"/>
      <c r="E81" s="5">
        <f>2000000</f>
        <v>2000000</v>
      </c>
      <c r="F81" s="5">
        <f>4000000</f>
        <v>4000000</v>
      </c>
      <c r="G81" s="8"/>
      <c r="H81" s="14"/>
      <c r="I81" s="14"/>
      <c r="J81" s="14"/>
      <c r="K81" s="14"/>
      <c r="L81" s="14"/>
    </row>
    <row r="82" spans="2:12" s="42" customFormat="1" ht="18" customHeight="1" x14ac:dyDescent="0.3">
      <c r="B82" s="43"/>
      <c r="C82" s="57" t="s">
        <v>634</v>
      </c>
      <c r="D82" s="5"/>
      <c r="E82" s="5">
        <v>10802000</v>
      </c>
      <c r="F82" s="5"/>
      <c r="G82" s="8"/>
      <c r="H82" s="14"/>
      <c r="I82" s="14"/>
      <c r="J82" s="14"/>
      <c r="K82" s="14"/>
      <c r="L82" s="14"/>
    </row>
    <row r="83" spans="2:12" s="42" customFormat="1" ht="31.2" customHeight="1" x14ac:dyDescent="0.3">
      <c r="B83" s="43"/>
      <c r="C83" s="57" t="s">
        <v>635</v>
      </c>
      <c r="D83" s="5"/>
      <c r="E83" s="5">
        <f>10000000</f>
        <v>10000000</v>
      </c>
      <c r="F83" s="5">
        <f>10000000</f>
        <v>10000000</v>
      </c>
      <c r="G83" s="8">
        <f>20000000-7388000</f>
        <v>12612000</v>
      </c>
      <c r="H83" s="14"/>
      <c r="I83" s="14"/>
      <c r="J83" s="14"/>
      <c r="K83" s="14"/>
      <c r="L83" s="14"/>
    </row>
    <row r="84" spans="2:12" s="42" customFormat="1" ht="18" customHeight="1" x14ac:dyDescent="0.3">
      <c r="B84" s="43"/>
      <c r="C84" s="57" t="s">
        <v>636</v>
      </c>
      <c r="D84" s="5"/>
      <c r="E84" s="5"/>
      <c r="F84" s="5"/>
      <c r="G84" s="8">
        <v>5000000</v>
      </c>
      <c r="H84" s="14"/>
      <c r="I84" s="14"/>
      <c r="J84" s="14"/>
      <c r="K84" s="14"/>
      <c r="L84" s="14"/>
    </row>
    <row r="85" spans="2:12" s="42" customFormat="1" ht="18" customHeight="1" x14ac:dyDescent="0.3">
      <c r="B85" s="43"/>
      <c r="C85" s="57" t="s">
        <v>637</v>
      </c>
      <c r="D85" s="5"/>
      <c r="E85" s="58" t="s">
        <v>638</v>
      </c>
      <c r="F85" s="58" t="s">
        <v>638</v>
      </c>
      <c r="G85" s="8">
        <v>5000000</v>
      </c>
      <c r="H85" s="14"/>
      <c r="I85" s="14"/>
      <c r="J85" s="14"/>
      <c r="K85" s="14"/>
      <c r="L85" s="14"/>
    </row>
    <row r="86" spans="2:12" s="42" customFormat="1" ht="18" customHeight="1" x14ac:dyDescent="0.3">
      <c r="B86" s="43"/>
      <c r="C86" s="57" t="s">
        <v>639</v>
      </c>
      <c r="D86" s="5"/>
      <c r="E86" s="58" t="s">
        <v>638</v>
      </c>
      <c r="F86" s="58" t="s">
        <v>638</v>
      </c>
      <c r="G86" s="59">
        <v>6000000</v>
      </c>
      <c r="H86" s="14"/>
      <c r="I86" s="14"/>
      <c r="J86" s="14"/>
      <c r="K86" s="14"/>
      <c r="L86" s="14"/>
    </row>
    <row r="87" spans="2:12" s="42" customFormat="1" ht="18" customHeight="1" x14ac:dyDescent="0.3">
      <c r="B87" s="43"/>
      <c r="C87" s="57" t="s">
        <v>640</v>
      </c>
      <c r="D87" s="5"/>
      <c r="E87" s="58" t="s">
        <v>638</v>
      </c>
      <c r="F87" s="58" t="s">
        <v>638</v>
      </c>
      <c r="G87" s="59">
        <v>7000000</v>
      </c>
      <c r="H87" s="14"/>
      <c r="I87" s="14"/>
      <c r="J87" s="14"/>
      <c r="K87" s="14"/>
      <c r="L87" s="14"/>
    </row>
    <row r="88" spans="2:12" s="42" customFormat="1" ht="18" customHeight="1" x14ac:dyDescent="0.3">
      <c r="B88" s="43"/>
      <c r="C88" s="57" t="s">
        <v>641</v>
      </c>
      <c r="D88" s="5"/>
      <c r="E88" s="58" t="s">
        <v>638</v>
      </c>
      <c r="F88" s="58">
        <v>4000000</v>
      </c>
      <c r="G88" s="59" t="s">
        <v>638</v>
      </c>
      <c r="H88" s="14"/>
      <c r="I88" s="14"/>
      <c r="J88" s="14"/>
      <c r="K88" s="14"/>
      <c r="L88" s="14"/>
    </row>
    <row r="89" spans="2:12" s="42" customFormat="1" ht="18" customHeight="1" x14ac:dyDescent="0.3">
      <c r="B89" s="43"/>
      <c r="C89" s="57" t="s">
        <v>642</v>
      </c>
      <c r="D89" s="5"/>
      <c r="E89" s="58" t="s">
        <v>638</v>
      </c>
      <c r="F89" s="58">
        <v>0</v>
      </c>
      <c r="G89" s="59" t="s">
        <v>638</v>
      </c>
      <c r="H89" s="14"/>
      <c r="I89" s="14"/>
      <c r="J89" s="14"/>
      <c r="K89" s="14"/>
      <c r="L89" s="14"/>
    </row>
    <row r="90" spans="2:12" s="42" customFormat="1" ht="18" customHeight="1" x14ac:dyDescent="0.3">
      <c r="B90" s="43"/>
      <c r="C90" s="57" t="s">
        <v>643</v>
      </c>
      <c r="D90" s="5"/>
      <c r="E90" s="58">
        <v>3000000</v>
      </c>
      <c r="F90" s="58">
        <f>3871000</f>
        <v>3871000</v>
      </c>
      <c r="G90" s="59">
        <f>3000000</f>
        <v>3000000</v>
      </c>
      <c r="H90" s="14"/>
      <c r="I90" s="14"/>
      <c r="J90" s="14"/>
      <c r="K90" s="14"/>
      <c r="L90" s="14"/>
    </row>
    <row r="91" spans="2:12" s="42" customFormat="1" ht="18" customHeight="1" x14ac:dyDescent="0.3">
      <c r="B91" s="43"/>
      <c r="C91" s="57" t="s">
        <v>644</v>
      </c>
      <c r="D91" s="5"/>
      <c r="E91" s="58">
        <v>8000000</v>
      </c>
      <c r="F91" s="58" t="s">
        <v>638</v>
      </c>
      <c r="G91" s="59" t="s">
        <v>638</v>
      </c>
      <c r="H91" s="14"/>
      <c r="I91" s="14"/>
      <c r="J91" s="14"/>
      <c r="K91" s="14"/>
      <c r="L91" s="14"/>
    </row>
    <row r="92" spans="2:12" s="42" customFormat="1" ht="18" customHeight="1" x14ac:dyDescent="0.3">
      <c r="B92" s="43"/>
      <c r="C92" s="57" t="s">
        <v>645</v>
      </c>
      <c r="D92" s="5"/>
      <c r="E92" s="58">
        <v>2000000</v>
      </c>
      <c r="F92" s="58">
        <v>5000000</v>
      </c>
      <c r="G92" s="59">
        <f>4000000</f>
        <v>4000000</v>
      </c>
      <c r="H92" s="14"/>
      <c r="I92" s="14"/>
      <c r="J92" s="14"/>
      <c r="K92" s="14"/>
      <c r="L92" s="14"/>
    </row>
    <row r="93" spans="2:12" s="42" customFormat="1" ht="18" customHeight="1" x14ac:dyDescent="0.3">
      <c r="B93" s="43"/>
      <c r="C93" s="57" t="s">
        <v>646</v>
      </c>
      <c r="D93" s="5"/>
      <c r="E93" s="58">
        <v>2000000</v>
      </c>
      <c r="F93" s="58">
        <v>3000000</v>
      </c>
      <c r="G93" s="59">
        <v>3000000</v>
      </c>
      <c r="H93" s="14"/>
      <c r="I93" s="14"/>
      <c r="J93" s="14"/>
      <c r="K93" s="14"/>
      <c r="L93" s="14"/>
    </row>
    <row r="94" spans="2:12" s="42" customFormat="1" ht="18" customHeight="1" x14ac:dyDescent="0.3">
      <c r="B94" s="43"/>
      <c r="C94" s="57" t="s">
        <v>647</v>
      </c>
      <c r="D94" s="5"/>
      <c r="E94" s="58">
        <f>1500000-86400</f>
        <v>1413600</v>
      </c>
      <c r="F94" s="58">
        <f>1000000</f>
        <v>1000000</v>
      </c>
      <c r="G94" s="59">
        <v>5000000</v>
      </c>
      <c r="H94" s="14"/>
      <c r="I94" s="14"/>
      <c r="J94" s="14"/>
      <c r="K94" s="14"/>
      <c r="L94" s="14"/>
    </row>
    <row r="95" spans="2:12" s="42" customFormat="1" ht="30" customHeight="1" thickBot="1" x14ac:dyDescent="0.4">
      <c r="B95" s="60" t="s">
        <v>590</v>
      </c>
      <c r="C95" s="61"/>
      <c r="D95" s="50">
        <f>SUM(D44:D94)</f>
        <v>73099999.999999985</v>
      </c>
      <c r="E95" s="50">
        <f>70000000</f>
        <v>70000000</v>
      </c>
      <c r="F95" s="50">
        <f>63471000</f>
        <v>63471000</v>
      </c>
      <c r="G95" s="51">
        <v>77912000</v>
      </c>
      <c r="H95" s="55"/>
      <c r="I95" s="55">
        <f>SUM(I42:I76)</f>
        <v>0</v>
      </c>
      <c r="J95" s="55">
        <f>SUM(J42:J76)</f>
        <v>60242317.480000004</v>
      </c>
      <c r="K95" s="55">
        <f>SUM(K42:K76)</f>
        <v>36.019999999999996</v>
      </c>
      <c r="L95" s="55">
        <f>D95-73100000</f>
        <v>0</v>
      </c>
    </row>
    <row r="96" spans="2:12" s="42" customFormat="1" ht="15" thickTop="1" x14ac:dyDescent="0.3">
      <c r="B96" s="43"/>
      <c r="C96" s="44"/>
      <c r="D96" s="5">
        <v>0</v>
      </c>
      <c r="E96" s="53"/>
      <c r="F96" s="53"/>
      <c r="G96" s="62"/>
      <c r="H96" s="14"/>
      <c r="I96" s="14"/>
      <c r="J96" s="14"/>
      <c r="K96" s="14"/>
      <c r="L96" s="14"/>
    </row>
    <row r="97" spans="1:12" s="42" customFormat="1" x14ac:dyDescent="0.3">
      <c r="A97" s="42" t="s">
        <v>191</v>
      </c>
      <c r="B97" s="43" t="s">
        <v>648</v>
      </c>
      <c r="C97" s="44" t="s">
        <v>649</v>
      </c>
      <c r="D97" s="5">
        <v>3000000</v>
      </c>
      <c r="E97" s="5"/>
      <c r="F97" s="5"/>
      <c r="G97" s="8"/>
      <c r="H97" s="14"/>
      <c r="I97" s="14" t="s">
        <v>187</v>
      </c>
      <c r="J97" s="14">
        <v>2809046.71</v>
      </c>
      <c r="K97" s="14">
        <v>6.36</v>
      </c>
      <c r="L97" s="14"/>
    </row>
    <row r="98" spans="1:12" s="42" customFormat="1" x14ac:dyDescent="0.3">
      <c r="A98" s="42" t="s">
        <v>191</v>
      </c>
      <c r="B98" s="43" t="s">
        <v>650</v>
      </c>
      <c r="C98" s="44" t="s">
        <v>651</v>
      </c>
      <c r="D98" s="5">
        <v>3000000</v>
      </c>
      <c r="E98" s="5"/>
      <c r="F98" s="5"/>
      <c r="G98" s="8"/>
      <c r="H98" s="14"/>
      <c r="I98" s="14" t="s">
        <v>187</v>
      </c>
      <c r="J98" s="14">
        <v>3000000</v>
      </c>
      <c r="K98" s="14">
        <v>0</v>
      </c>
      <c r="L98" s="14"/>
    </row>
    <row r="99" spans="1:12" s="42" customFormat="1" x14ac:dyDescent="0.3">
      <c r="A99" s="42" t="s">
        <v>191</v>
      </c>
      <c r="B99" s="43" t="s">
        <v>652</v>
      </c>
      <c r="C99" s="44" t="s">
        <v>653</v>
      </c>
      <c r="D99" s="5">
        <v>18574560.960000001</v>
      </c>
      <c r="E99" s="5"/>
      <c r="F99" s="5"/>
      <c r="G99" s="8"/>
      <c r="H99" s="14" t="s">
        <v>654</v>
      </c>
      <c r="I99" s="14" t="s">
        <v>187</v>
      </c>
      <c r="J99" s="14">
        <v>2300767.62</v>
      </c>
      <c r="K99" s="14">
        <v>74.430000000000007</v>
      </c>
      <c r="L99" s="14"/>
    </row>
    <row r="100" spans="1:12" s="42" customFormat="1" x14ac:dyDescent="0.3">
      <c r="A100" s="42" t="s">
        <v>191</v>
      </c>
      <c r="B100" s="43" t="s">
        <v>655</v>
      </c>
      <c r="C100" s="44" t="s">
        <v>656</v>
      </c>
      <c r="D100" s="5">
        <v>15937980</v>
      </c>
      <c r="E100" s="5"/>
      <c r="F100" s="5"/>
      <c r="G100" s="8"/>
      <c r="H100" s="14"/>
      <c r="I100" s="14" t="s">
        <v>187</v>
      </c>
      <c r="J100" s="14">
        <v>9144540.7699999996</v>
      </c>
      <c r="K100" s="14">
        <v>42.62</v>
      </c>
      <c r="L100" s="14"/>
    </row>
    <row r="101" spans="1:12" s="42" customFormat="1" x14ac:dyDescent="0.3">
      <c r="A101" s="42" t="s">
        <v>191</v>
      </c>
      <c r="B101" s="43" t="s">
        <v>657</v>
      </c>
      <c r="C101" s="44" t="s">
        <v>658</v>
      </c>
      <c r="D101" s="5">
        <v>21565517.120000001</v>
      </c>
      <c r="E101" s="5">
        <f>1000000</f>
        <v>1000000</v>
      </c>
      <c r="F101" s="5"/>
      <c r="G101" s="8"/>
      <c r="H101" s="14" t="s">
        <v>654</v>
      </c>
      <c r="I101" s="14" t="s">
        <v>187</v>
      </c>
      <c r="J101" s="14">
        <v>4882817.42</v>
      </c>
      <c r="K101" s="14">
        <v>79.56</v>
      </c>
      <c r="L101" s="14"/>
    </row>
    <row r="102" spans="1:12" s="42" customFormat="1" x14ac:dyDescent="0.3">
      <c r="A102" s="42" t="s">
        <v>191</v>
      </c>
      <c r="B102" s="43" t="s">
        <v>659</v>
      </c>
      <c r="C102" s="44" t="s">
        <v>660</v>
      </c>
      <c r="D102" s="5">
        <v>9590359</v>
      </c>
      <c r="E102" s="5">
        <v>1000000</v>
      </c>
      <c r="F102" s="5"/>
      <c r="G102" s="8">
        <v>52665803.529999971</v>
      </c>
      <c r="H102" s="14"/>
      <c r="I102" s="14" t="s">
        <v>187</v>
      </c>
      <c r="J102" s="14">
        <v>6394276.6100000003</v>
      </c>
      <c r="K102" s="14">
        <v>33.32</v>
      </c>
      <c r="L102" s="14"/>
    </row>
    <row r="103" spans="1:12" s="42" customFormat="1" x14ac:dyDescent="0.3">
      <c r="A103" s="42" t="s">
        <v>191</v>
      </c>
      <c r="B103" s="43" t="s">
        <v>661</v>
      </c>
      <c r="C103" s="44" t="s">
        <v>662</v>
      </c>
      <c r="D103" s="5">
        <v>13500000</v>
      </c>
      <c r="E103" s="5"/>
      <c r="F103" s="5"/>
      <c r="G103" s="8"/>
      <c r="H103" s="14" t="s">
        <v>654</v>
      </c>
      <c r="I103" s="14" t="s">
        <v>187</v>
      </c>
      <c r="J103" s="14">
        <v>424668</v>
      </c>
      <c r="K103" s="14">
        <v>0</v>
      </c>
      <c r="L103" s="14"/>
    </row>
    <row r="104" spans="1:12" s="42" customFormat="1" x14ac:dyDescent="0.3">
      <c r="A104" s="42" t="s">
        <v>191</v>
      </c>
      <c r="B104" s="43" t="s">
        <v>663</v>
      </c>
      <c r="C104" s="44" t="s">
        <v>664</v>
      </c>
      <c r="D104" s="5">
        <v>6721314.7199999997</v>
      </c>
      <c r="E104" s="5"/>
      <c r="F104" s="5"/>
      <c r="G104" s="8"/>
      <c r="H104" s="14"/>
      <c r="I104" s="14" t="s">
        <v>187</v>
      </c>
      <c r="J104" s="14">
        <v>1293632.69</v>
      </c>
      <c r="K104" s="14">
        <v>80.75</v>
      </c>
      <c r="L104" s="14"/>
    </row>
    <row r="105" spans="1:12" s="42" customFormat="1" x14ac:dyDescent="0.3">
      <c r="A105" s="42" t="s">
        <v>191</v>
      </c>
      <c r="B105" s="43" t="s">
        <v>665</v>
      </c>
      <c r="C105" s="44" t="s">
        <v>666</v>
      </c>
      <c r="D105" s="5">
        <v>6816418</v>
      </c>
      <c r="E105" s="5"/>
      <c r="F105" s="5"/>
      <c r="G105" s="8"/>
      <c r="H105" s="14" t="s">
        <v>654</v>
      </c>
      <c r="I105" s="14" t="s">
        <v>187</v>
      </c>
      <c r="J105" s="14">
        <v>69668</v>
      </c>
      <c r="K105" s="14">
        <v>83.59</v>
      </c>
      <c r="L105" s="14"/>
    </row>
    <row r="106" spans="1:12" s="42" customFormat="1" x14ac:dyDescent="0.3">
      <c r="A106" s="42" t="s">
        <v>191</v>
      </c>
      <c r="B106" s="43" t="s">
        <v>667</v>
      </c>
      <c r="C106" s="44" t="s">
        <v>668</v>
      </c>
      <c r="D106" s="5">
        <v>3000000</v>
      </c>
      <c r="E106" s="5"/>
      <c r="F106" s="5"/>
      <c r="G106" s="8"/>
      <c r="H106" s="14"/>
      <c r="I106" s="14" t="s">
        <v>187</v>
      </c>
      <c r="J106" s="14">
        <v>1097265.97</v>
      </c>
      <c r="K106" s="14">
        <v>63.42</v>
      </c>
      <c r="L106" s="14"/>
    </row>
    <row r="107" spans="1:12" s="42" customFormat="1" x14ac:dyDescent="0.3">
      <c r="A107" s="42" t="s">
        <v>191</v>
      </c>
      <c r="B107" s="43" t="s">
        <v>669</v>
      </c>
      <c r="C107" s="44" t="s">
        <v>670</v>
      </c>
      <c r="D107" s="5">
        <v>3000000</v>
      </c>
      <c r="E107" s="5">
        <v>1000000</v>
      </c>
      <c r="F107" s="5"/>
      <c r="G107" s="8"/>
      <c r="H107" s="14" t="s">
        <v>654</v>
      </c>
      <c r="I107" s="14" t="s">
        <v>187</v>
      </c>
      <c r="J107" s="14">
        <v>223735.67999999999</v>
      </c>
      <c r="K107" s="14">
        <v>47.31</v>
      </c>
      <c r="L107" s="14"/>
    </row>
    <row r="108" spans="1:12" s="42" customFormat="1" x14ac:dyDescent="0.3">
      <c r="B108" s="43"/>
      <c r="C108" s="44" t="s">
        <v>671</v>
      </c>
      <c r="D108" s="5">
        <v>198119026.18000001</v>
      </c>
      <c r="E108" s="5">
        <v>107957450.95999999</v>
      </c>
      <c r="F108" s="5">
        <v>92000000</v>
      </c>
      <c r="G108" s="8"/>
      <c r="H108" s="14" t="s">
        <v>672</v>
      </c>
      <c r="I108" s="14"/>
      <c r="J108" s="14"/>
      <c r="K108" s="14"/>
      <c r="L108" s="14"/>
    </row>
    <row r="109" spans="1:12" s="42" customFormat="1" x14ac:dyDescent="0.3">
      <c r="B109" s="43"/>
      <c r="C109" s="63" t="s">
        <v>673</v>
      </c>
      <c r="D109" s="5">
        <v>5000000</v>
      </c>
      <c r="E109" s="5">
        <v>60000000</v>
      </c>
      <c r="F109" s="5">
        <v>52258853.57</v>
      </c>
      <c r="G109" s="8"/>
      <c r="H109" s="14" t="s">
        <v>674</v>
      </c>
      <c r="I109" s="14"/>
      <c r="J109" s="14"/>
      <c r="K109" s="14"/>
      <c r="L109" s="14"/>
    </row>
    <row r="110" spans="1:12" s="42" customFormat="1" x14ac:dyDescent="0.3">
      <c r="B110" s="43"/>
      <c r="C110" s="63" t="s">
        <v>675</v>
      </c>
      <c r="D110" s="5">
        <v>4000000</v>
      </c>
      <c r="E110" s="5">
        <v>40000000</v>
      </c>
      <c r="F110" s="5">
        <v>47946250.149999999</v>
      </c>
      <c r="G110" s="8"/>
      <c r="H110" s="14" t="s">
        <v>674</v>
      </c>
      <c r="I110" s="14"/>
      <c r="J110" s="14"/>
      <c r="K110" s="14"/>
      <c r="L110" s="14"/>
    </row>
    <row r="111" spans="1:12" s="42" customFormat="1" x14ac:dyDescent="0.3">
      <c r="B111" s="43"/>
      <c r="C111" s="63" t="s">
        <v>676</v>
      </c>
      <c r="D111" s="5">
        <v>15000000</v>
      </c>
      <c r="E111" s="5">
        <v>100000000</v>
      </c>
      <c r="F111" s="5">
        <v>100000000</v>
      </c>
      <c r="G111" s="8">
        <v>179536116.60000002</v>
      </c>
      <c r="H111" s="14" t="s">
        <v>674</v>
      </c>
      <c r="I111" s="14"/>
      <c r="J111" s="14"/>
      <c r="K111" s="14"/>
      <c r="L111" s="14"/>
    </row>
    <row r="112" spans="1:12" s="42" customFormat="1" ht="32.4" customHeight="1" x14ac:dyDescent="0.3">
      <c r="B112" s="43"/>
      <c r="C112" s="64" t="s">
        <v>677</v>
      </c>
      <c r="D112" s="5">
        <v>7000000</v>
      </c>
      <c r="E112" s="5">
        <v>87570251.930000007</v>
      </c>
      <c r="F112" s="5">
        <v>86087675.959999993</v>
      </c>
      <c r="G112" s="8"/>
      <c r="H112" s="14" t="s">
        <v>674</v>
      </c>
      <c r="I112" s="14"/>
      <c r="J112" s="14"/>
      <c r="K112" s="14"/>
      <c r="L112" s="14"/>
    </row>
    <row r="113" spans="2:12" s="42" customFormat="1" ht="25.2" customHeight="1" x14ac:dyDescent="0.3">
      <c r="B113" s="43"/>
      <c r="C113" s="65" t="s">
        <v>678</v>
      </c>
      <c r="D113" s="5"/>
      <c r="E113" s="5">
        <v>5472297.1100000003</v>
      </c>
      <c r="F113" s="5"/>
      <c r="G113" s="8"/>
      <c r="H113" s="14"/>
      <c r="I113" s="14"/>
      <c r="J113" s="14"/>
      <c r="K113" s="14"/>
      <c r="L113" s="14"/>
    </row>
    <row r="114" spans="2:12" s="42" customFormat="1" x14ac:dyDescent="0.3">
      <c r="B114" s="43"/>
      <c r="C114" s="44" t="s">
        <v>679</v>
      </c>
      <c r="D114" s="5"/>
      <c r="E114" s="5"/>
      <c r="F114" s="5">
        <v>2000000</v>
      </c>
      <c r="G114" s="8">
        <v>57766905.869999997</v>
      </c>
      <c r="H114" s="14"/>
      <c r="I114" s="14"/>
      <c r="J114" s="14"/>
      <c r="K114" s="14"/>
      <c r="L114" s="14"/>
    </row>
    <row r="115" spans="2:12" s="42" customFormat="1" x14ac:dyDescent="0.3">
      <c r="B115" s="43"/>
      <c r="C115" s="44" t="s">
        <v>680</v>
      </c>
      <c r="D115" s="5"/>
      <c r="E115" s="5"/>
      <c r="F115" s="5">
        <v>5000000</v>
      </c>
      <c r="G115" s="8">
        <v>120000000</v>
      </c>
      <c r="H115" s="14"/>
      <c r="I115" s="14"/>
      <c r="J115" s="14"/>
      <c r="K115" s="14"/>
      <c r="L115" s="14"/>
    </row>
    <row r="116" spans="2:12" s="42" customFormat="1" x14ac:dyDescent="0.3">
      <c r="B116" s="43"/>
      <c r="C116" s="44" t="s">
        <v>681</v>
      </c>
      <c r="D116" s="5"/>
      <c r="E116" s="5"/>
      <c r="F116" s="5">
        <v>2500000</v>
      </c>
      <c r="G116" s="8">
        <v>63433174</v>
      </c>
      <c r="H116" s="14"/>
      <c r="I116" s="14"/>
      <c r="J116" s="14"/>
      <c r="K116" s="14"/>
      <c r="L116" s="14"/>
    </row>
    <row r="117" spans="2:12" s="42" customFormat="1" ht="22.8" customHeight="1" x14ac:dyDescent="0.3">
      <c r="B117" s="43"/>
      <c r="C117" s="44" t="s">
        <v>682</v>
      </c>
      <c r="D117" s="5"/>
      <c r="E117" s="5"/>
      <c r="F117" s="5">
        <v>8396713</v>
      </c>
      <c r="G117" s="8"/>
      <c r="H117" s="14"/>
      <c r="I117" s="14"/>
      <c r="J117" s="14"/>
      <c r="K117" s="14"/>
      <c r="L117" s="14"/>
    </row>
    <row r="118" spans="2:12" s="42" customFormat="1" ht="43.2" x14ac:dyDescent="0.3">
      <c r="B118" s="43"/>
      <c r="C118" s="47" t="s">
        <v>683</v>
      </c>
      <c r="D118" s="5"/>
      <c r="E118" s="5">
        <v>1000000</v>
      </c>
      <c r="F118" s="5">
        <v>33000000</v>
      </c>
      <c r="G118" s="8"/>
      <c r="H118" s="14"/>
      <c r="I118" s="14"/>
      <c r="J118" s="14"/>
      <c r="K118" s="14"/>
      <c r="L118" s="14"/>
    </row>
    <row r="119" spans="2:12" s="42" customFormat="1" ht="24" customHeight="1" x14ac:dyDescent="0.3">
      <c r="B119" s="43"/>
      <c r="C119" s="44" t="s">
        <v>684</v>
      </c>
      <c r="D119" s="5"/>
      <c r="E119" s="5"/>
      <c r="F119" s="5"/>
      <c r="G119" s="8">
        <v>10000000</v>
      </c>
      <c r="H119" s="14"/>
      <c r="I119" s="14"/>
      <c r="J119" s="14"/>
      <c r="K119" s="14"/>
      <c r="L119" s="14"/>
    </row>
    <row r="120" spans="2:12" s="42" customFormat="1" ht="23.4" customHeight="1" x14ac:dyDescent="0.3">
      <c r="B120" s="43"/>
      <c r="C120" s="44" t="s">
        <v>685</v>
      </c>
      <c r="D120" s="5"/>
      <c r="E120" s="5"/>
      <c r="F120" s="5"/>
      <c r="G120" s="8">
        <v>1000000</v>
      </c>
      <c r="H120" s="14"/>
      <c r="I120" s="14"/>
      <c r="J120" s="14"/>
      <c r="K120" s="14"/>
      <c r="L120" s="14"/>
    </row>
    <row r="121" spans="2:12" s="42" customFormat="1" x14ac:dyDescent="0.3">
      <c r="B121" s="43"/>
      <c r="C121" s="44"/>
      <c r="D121" s="5"/>
      <c r="E121" s="5"/>
      <c r="F121" s="5"/>
      <c r="G121" s="8"/>
      <c r="H121" s="14"/>
      <c r="I121" s="14"/>
      <c r="J121" s="14"/>
      <c r="K121" s="14"/>
      <c r="L121" s="14"/>
    </row>
    <row r="122" spans="2:12" s="42" customFormat="1" x14ac:dyDescent="0.3">
      <c r="B122" s="43"/>
      <c r="C122" s="44"/>
      <c r="D122" s="5"/>
      <c r="E122" s="5"/>
      <c r="F122" s="5"/>
      <c r="G122" s="8"/>
      <c r="H122" s="14"/>
      <c r="I122" s="14"/>
      <c r="J122" s="14"/>
      <c r="K122" s="14"/>
      <c r="L122" s="14"/>
    </row>
    <row r="123" spans="2:12" s="42" customFormat="1" x14ac:dyDescent="0.3">
      <c r="B123" s="43"/>
      <c r="C123" s="44"/>
      <c r="D123" s="5"/>
      <c r="E123" s="5"/>
      <c r="F123" s="5"/>
      <c r="G123" s="8"/>
      <c r="H123" s="14"/>
      <c r="I123" s="14"/>
      <c r="J123" s="14"/>
      <c r="K123" s="14"/>
      <c r="L123" s="14"/>
    </row>
    <row r="124" spans="2:12" s="42" customFormat="1" ht="35.4" customHeight="1" thickBot="1" x14ac:dyDescent="0.4">
      <c r="B124" s="48" t="s">
        <v>686</v>
      </c>
      <c r="C124" s="49"/>
      <c r="D124" s="50">
        <f t="shared" ref="D124" si="0">SUM(D97:D123)</f>
        <v>333825175.98000002</v>
      </c>
      <c r="E124" s="50">
        <f>SUM(E97:E123)</f>
        <v>405000000</v>
      </c>
      <c r="F124" s="50">
        <f t="shared" ref="F124:G124" si="1">SUM(F97:F123)</f>
        <v>429189492.68000001</v>
      </c>
      <c r="G124" s="51">
        <f t="shared" si="1"/>
        <v>484402000</v>
      </c>
      <c r="H124" s="55"/>
      <c r="I124" s="55">
        <f>SUM(I97:I107)</f>
        <v>0</v>
      </c>
      <c r="J124" s="55">
        <f>SUM(J97:J107)</f>
        <v>31640419.470000003</v>
      </c>
      <c r="K124" s="55">
        <f>SUM(K97:K107)</f>
        <v>511.36</v>
      </c>
      <c r="L124" s="55"/>
    </row>
    <row r="125" spans="2:12" s="42" customFormat="1" ht="35.4" customHeight="1" thickTop="1" x14ac:dyDescent="0.3">
      <c r="B125" s="66"/>
      <c r="C125" s="67"/>
      <c r="D125" s="68"/>
      <c r="E125" s="68"/>
      <c r="F125" s="68"/>
      <c r="G125" s="68"/>
      <c r="H125" s="55"/>
      <c r="I125" s="55"/>
      <c r="J125" s="55"/>
      <c r="K125" s="55"/>
      <c r="L125" s="55"/>
    </row>
    <row r="126" spans="2:12" s="42" customFormat="1" ht="22.8" customHeight="1" x14ac:dyDescent="0.3"/>
    <row r="127" spans="2:12" s="42" customFormat="1" ht="15.6" x14ac:dyDescent="0.3">
      <c r="E127" s="69"/>
      <c r="F127" s="69"/>
      <c r="G127" s="69"/>
    </row>
    <row r="128" spans="2:12" s="42" customFormat="1" x14ac:dyDescent="0.3"/>
    <row r="129" spans="5:7" s="42" customFormat="1" ht="15.6" x14ac:dyDescent="0.3">
      <c r="E129" s="69"/>
      <c r="F129" s="69"/>
      <c r="G129" s="69"/>
    </row>
    <row r="130" spans="5:7" s="42" customFormat="1" x14ac:dyDescent="0.3"/>
    <row r="131" spans="5:7" s="42" customFormat="1" x14ac:dyDescent="0.3">
      <c r="E131" s="70"/>
      <c r="F131" s="70"/>
      <c r="G131" s="70"/>
    </row>
    <row r="132" spans="5:7" s="42" customFormat="1" x14ac:dyDescent="0.3"/>
    <row r="133" spans="5:7" s="42" customFormat="1" x14ac:dyDescent="0.3">
      <c r="G133" s="70"/>
    </row>
    <row r="134" spans="5:7" s="42" customFormat="1" x14ac:dyDescent="0.3"/>
    <row r="135" spans="5:7" s="42" customFormat="1" x14ac:dyDescent="0.3"/>
    <row r="136" spans="5:7" s="42" customFormat="1" x14ac:dyDescent="0.3"/>
    <row r="137" spans="5:7" s="42" customFormat="1" x14ac:dyDescent="0.3"/>
    <row r="138" spans="5:7" s="42" customFormat="1" x14ac:dyDescent="0.3"/>
    <row r="139" spans="5:7" s="42" customFormat="1" x14ac:dyDescent="0.3"/>
    <row r="140" spans="5:7" s="42" customFormat="1" x14ac:dyDescent="0.3"/>
    <row r="141" spans="5:7" s="42" customFormat="1" x14ac:dyDescent="0.3"/>
    <row r="142" spans="5:7" s="42" customFormat="1" x14ac:dyDescent="0.3"/>
    <row r="143" spans="5:7" s="42" customFormat="1" x14ac:dyDescent="0.3"/>
    <row r="144" spans="5:7" s="42" customFormat="1" x14ac:dyDescent="0.3"/>
    <row r="145" s="42" customFormat="1" x14ac:dyDescent="0.3"/>
    <row r="146" s="42" customFormat="1" x14ac:dyDescent="0.3"/>
    <row r="147" s="42" customFormat="1" x14ac:dyDescent="0.3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8"/>
  <sheetViews>
    <sheetView workbookViewId="0">
      <selection sqref="A1:B1"/>
    </sheetView>
  </sheetViews>
  <sheetFormatPr defaultRowHeight="14.4" x14ac:dyDescent="0.3"/>
  <cols>
    <col min="1" max="1" width="24" style="13" bestFit="1" customWidth="1"/>
    <col min="2" max="2" width="48.88671875" style="13" bestFit="1" customWidth="1"/>
    <col min="3" max="3" width="19.88671875" style="14" bestFit="1" customWidth="1"/>
    <col min="4" max="5" width="16.44140625" style="14" bestFit="1" customWidth="1"/>
    <col min="6" max="6" width="15" style="14" customWidth="1"/>
    <col min="7" max="14" width="0" style="13" hidden="1" customWidth="1"/>
    <col min="15" max="16384" width="8.88671875" style="13"/>
  </cols>
  <sheetData>
    <row r="1" spans="1:14" ht="18" x14ac:dyDescent="0.35">
      <c r="A1" s="71" t="s">
        <v>522</v>
      </c>
      <c r="B1" s="71"/>
    </row>
    <row r="2" spans="1:14" ht="15" thickBot="1" x14ac:dyDescent="0.35"/>
    <row r="3" spans="1:14" ht="15" thickBot="1" x14ac:dyDescent="0.35">
      <c r="A3" s="1" t="s">
        <v>0</v>
      </c>
      <c r="B3" s="1" t="s">
        <v>1</v>
      </c>
      <c r="C3" s="4" t="s">
        <v>2</v>
      </c>
      <c r="D3" s="4" t="s">
        <v>3</v>
      </c>
      <c r="E3" s="4" t="s">
        <v>4</v>
      </c>
      <c r="F3" s="7" t="s">
        <v>5</v>
      </c>
      <c r="G3" s="16" t="s">
        <v>183</v>
      </c>
      <c r="H3" s="16" t="s">
        <v>184</v>
      </c>
      <c r="I3" s="16" t="s">
        <v>185</v>
      </c>
      <c r="J3" s="16" t="s">
        <v>186</v>
      </c>
      <c r="K3" s="16" t="s">
        <v>187</v>
      </c>
      <c r="L3" s="16" t="s">
        <v>188</v>
      </c>
      <c r="M3" s="16" t="s">
        <v>189</v>
      </c>
      <c r="N3" s="17" t="s">
        <v>190</v>
      </c>
    </row>
    <row r="4" spans="1:14" x14ac:dyDescent="0.3">
      <c r="A4" s="10" t="s">
        <v>521</v>
      </c>
      <c r="B4" s="10"/>
      <c r="C4" s="11"/>
      <c r="D4" s="11"/>
      <c r="E4" s="11"/>
      <c r="F4" s="12"/>
      <c r="G4" s="16"/>
      <c r="H4" s="16"/>
      <c r="I4" s="16"/>
      <c r="J4" s="16"/>
      <c r="K4" s="16"/>
      <c r="L4" s="16"/>
      <c r="M4" s="16"/>
      <c r="N4" s="17"/>
    </row>
    <row r="5" spans="1:14" x14ac:dyDescent="0.3">
      <c r="A5" s="2" t="s">
        <v>6</v>
      </c>
      <c r="B5" s="2" t="s">
        <v>7</v>
      </c>
      <c r="C5" s="5">
        <v>8938834</v>
      </c>
      <c r="D5" s="5">
        <f t="shared" ref="D5:F22" si="0">C5*1.07</f>
        <v>9564552.3800000008</v>
      </c>
      <c r="E5" s="5">
        <f t="shared" si="0"/>
        <v>10234071.046600001</v>
      </c>
      <c r="F5" s="8">
        <f t="shared" si="0"/>
        <v>10950456.019862002</v>
      </c>
      <c r="G5" s="13" t="s">
        <v>183</v>
      </c>
      <c r="H5" s="13">
        <v>0</v>
      </c>
      <c r="I5" s="13">
        <v>0</v>
      </c>
      <c r="J5" s="13">
        <v>6492403.5800000001</v>
      </c>
      <c r="K5" s="13" t="s">
        <v>187</v>
      </c>
      <c r="L5" s="13">
        <v>2446430.42</v>
      </c>
      <c r="M5" s="13">
        <v>72.63</v>
      </c>
      <c r="N5" s="18">
        <v>7.0000000000000007E-2</v>
      </c>
    </row>
    <row r="6" spans="1:14" x14ac:dyDescent="0.3">
      <c r="A6" s="2" t="s">
        <v>8</v>
      </c>
      <c r="B6" s="2" t="s">
        <v>9</v>
      </c>
      <c r="C6" s="5">
        <v>178428</v>
      </c>
      <c r="D6" s="5">
        <f t="shared" si="0"/>
        <v>190917.96000000002</v>
      </c>
      <c r="E6" s="5">
        <f t="shared" si="0"/>
        <v>204282.21720000004</v>
      </c>
      <c r="F6" s="8">
        <f t="shared" si="0"/>
        <v>218581.97240400006</v>
      </c>
      <c r="G6" s="13" t="s">
        <v>183</v>
      </c>
      <c r="H6" s="13">
        <v>0</v>
      </c>
      <c r="I6" s="13">
        <v>0</v>
      </c>
      <c r="J6" s="13">
        <v>113301</v>
      </c>
      <c r="K6" s="13" t="s">
        <v>187</v>
      </c>
      <c r="L6" s="13">
        <v>65127</v>
      </c>
      <c r="M6" s="13">
        <v>63.49</v>
      </c>
      <c r="N6" s="18">
        <v>7.0000000000000007E-2</v>
      </c>
    </row>
    <row r="7" spans="1:14" x14ac:dyDescent="0.3">
      <c r="A7" s="2" t="s">
        <v>10</v>
      </c>
      <c r="B7" s="2" t="s">
        <v>11</v>
      </c>
      <c r="C7" s="5">
        <v>12149</v>
      </c>
      <c r="D7" s="5">
        <f t="shared" si="0"/>
        <v>12999.43</v>
      </c>
      <c r="E7" s="5">
        <f t="shared" si="0"/>
        <v>13909.390100000001</v>
      </c>
      <c r="F7" s="8">
        <f t="shared" si="0"/>
        <v>14883.047407000002</v>
      </c>
      <c r="G7" s="13" t="s">
        <v>183</v>
      </c>
      <c r="H7" s="13">
        <v>0</v>
      </c>
      <c r="I7" s="13">
        <v>0</v>
      </c>
      <c r="J7" s="13">
        <v>15604.56</v>
      </c>
      <c r="K7" s="13" t="s">
        <v>187</v>
      </c>
      <c r="L7" s="13">
        <v>-3455.56</v>
      </c>
      <c r="M7" s="13">
        <v>128.44</v>
      </c>
      <c r="N7" s="18">
        <v>7.0000000000000007E-2</v>
      </c>
    </row>
    <row r="8" spans="1:14" x14ac:dyDescent="0.3">
      <c r="A8" s="2" t="s">
        <v>12</v>
      </c>
      <c r="B8" s="2" t="s">
        <v>13</v>
      </c>
      <c r="C8" s="5">
        <v>137106</v>
      </c>
      <c r="D8" s="5">
        <f t="shared" si="0"/>
        <v>146703.42000000001</v>
      </c>
      <c r="E8" s="5">
        <f t="shared" si="0"/>
        <v>156972.65940000003</v>
      </c>
      <c r="F8" s="8">
        <f t="shared" si="0"/>
        <v>167960.74555800005</v>
      </c>
      <c r="G8" s="13" t="s">
        <v>183</v>
      </c>
      <c r="H8" s="13">
        <v>0</v>
      </c>
      <c r="I8" s="13">
        <v>0</v>
      </c>
      <c r="J8" s="13">
        <v>0</v>
      </c>
      <c r="K8" s="13" t="s">
        <v>187</v>
      </c>
      <c r="L8" s="13">
        <v>137106</v>
      </c>
      <c r="M8" s="13">
        <v>0</v>
      </c>
      <c r="N8" s="18">
        <v>7.0000000000000007E-2</v>
      </c>
    </row>
    <row r="9" spans="1:14" x14ac:dyDescent="0.3">
      <c r="A9" s="2" t="s">
        <v>14</v>
      </c>
      <c r="B9" s="2" t="s">
        <v>15</v>
      </c>
      <c r="C9" s="5">
        <v>1894159</v>
      </c>
      <c r="D9" s="5">
        <f t="shared" si="0"/>
        <v>2026750.1300000001</v>
      </c>
      <c r="E9" s="5">
        <f t="shared" si="0"/>
        <v>2168622.6391000003</v>
      </c>
      <c r="F9" s="8">
        <f t="shared" si="0"/>
        <v>2320426.2238370003</v>
      </c>
      <c r="G9" s="13" t="s">
        <v>183</v>
      </c>
      <c r="H9" s="13">
        <v>0</v>
      </c>
      <c r="I9" s="13">
        <v>0</v>
      </c>
      <c r="J9" s="13">
        <v>1390284.63</v>
      </c>
      <c r="K9" s="13" t="s">
        <v>187</v>
      </c>
      <c r="L9" s="13">
        <v>503874.37</v>
      </c>
      <c r="M9" s="13">
        <v>73.39</v>
      </c>
      <c r="N9" s="18">
        <v>7.0000000000000007E-2</v>
      </c>
    </row>
    <row r="10" spans="1:14" x14ac:dyDescent="0.3">
      <c r="A10" s="2" t="s">
        <v>17</v>
      </c>
      <c r="B10" s="2" t="s">
        <v>18</v>
      </c>
      <c r="C10" s="5">
        <v>36000</v>
      </c>
      <c r="D10" s="5">
        <f t="shared" si="0"/>
        <v>38520</v>
      </c>
      <c r="E10" s="5">
        <f t="shared" si="0"/>
        <v>41216.400000000001</v>
      </c>
      <c r="F10" s="8">
        <f t="shared" si="0"/>
        <v>44101.548000000003</v>
      </c>
      <c r="G10" s="13" t="s">
        <v>183</v>
      </c>
      <c r="H10" s="13">
        <v>0</v>
      </c>
      <c r="I10" s="13">
        <v>0</v>
      </c>
      <c r="J10" s="13">
        <v>24000</v>
      </c>
      <c r="K10" s="13" t="s">
        <v>187</v>
      </c>
      <c r="L10" s="13">
        <v>12000</v>
      </c>
      <c r="M10" s="13">
        <v>66.66</v>
      </c>
      <c r="N10" s="18">
        <v>7.0000000000000007E-2</v>
      </c>
    </row>
    <row r="11" spans="1:14" x14ac:dyDescent="0.3">
      <c r="A11" s="2" t="s">
        <v>19</v>
      </c>
      <c r="B11" s="2" t="s">
        <v>20</v>
      </c>
      <c r="C11" s="5">
        <v>51749</v>
      </c>
      <c r="D11" s="5">
        <f t="shared" si="0"/>
        <v>55371.43</v>
      </c>
      <c r="E11" s="5">
        <f t="shared" si="0"/>
        <v>59247.430100000005</v>
      </c>
      <c r="F11" s="8">
        <f t="shared" si="0"/>
        <v>63394.750207000012</v>
      </c>
      <c r="G11" s="13" t="s">
        <v>183</v>
      </c>
      <c r="H11" s="13">
        <v>0</v>
      </c>
      <c r="I11" s="13">
        <v>0</v>
      </c>
      <c r="J11" s="13">
        <v>0</v>
      </c>
      <c r="K11" s="13" t="s">
        <v>187</v>
      </c>
      <c r="L11" s="13">
        <v>51749</v>
      </c>
      <c r="M11" s="13">
        <v>0</v>
      </c>
      <c r="N11" s="18">
        <v>7.0000000000000007E-2</v>
      </c>
    </row>
    <row r="12" spans="1:14" x14ac:dyDescent="0.3">
      <c r="A12" s="2" t="s">
        <v>21</v>
      </c>
      <c r="B12" s="2" t="s">
        <v>22</v>
      </c>
      <c r="C12" s="5">
        <v>20000</v>
      </c>
      <c r="D12" s="5">
        <f t="shared" si="0"/>
        <v>21400</v>
      </c>
      <c r="E12" s="5">
        <f t="shared" si="0"/>
        <v>22898</v>
      </c>
      <c r="F12" s="8">
        <f t="shared" si="0"/>
        <v>24500.86</v>
      </c>
      <c r="G12" s="13" t="s">
        <v>183</v>
      </c>
      <c r="H12" s="13">
        <v>0</v>
      </c>
      <c r="I12" s="13">
        <v>0</v>
      </c>
      <c r="J12" s="13">
        <v>10000</v>
      </c>
      <c r="K12" s="13" t="s">
        <v>187</v>
      </c>
      <c r="L12" s="13">
        <v>10000</v>
      </c>
      <c r="M12" s="13">
        <v>50</v>
      </c>
      <c r="N12" s="18">
        <v>7.0000000000000007E-2</v>
      </c>
    </row>
    <row r="13" spans="1:14" x14ac:dyDescent="0.3">
      <c r="A13" s="2" t="s">
        <v>23</v>
      </c>
      <c r="B13" s="2" t="s">
        <v>24</v>
      </c>
      <c r="C13" s="5">
        <v>1713</v>
      </c>
      <c r="D13" s="5">
        <f t="shared" si="0"/>
        <v>1832.91</v>
      </c>
      <c r="E13" s="5">
        <f t="shared" si="0"/>
        <v>1961.2137000000002</v>
      </c>
      <c r="F13" s="8">
        <f t="shared" si="0"/>
        <v>2098.4986590000003</v>
      </c>
      <c r="G13" s="13" t="s">
        <v>183</v>
      </c>
      <c r="H13" s="13">
        <v>0</v>
      </c>
      <c r="I13" s="13">
        <v>0</v>
      </c>
      <c r="J13" s="13">
        <v>1330</v>
      </c>
      <c r="K13" s="13" t="s">
        <v>187</v>
      </c>
      <c r="L13" s="13">
        <v>383</v>
      </c>
      <c r="M13" s="13">
        <v>77.64</v>
      </c>
      <c r="N13" s="18">
        <v>7.0000000000000007E-2</v>
      </c>
    </row>
    <row r="14" spans="1:14" x14ac:dyDescent="0.3">
      <c r="A14" s="2" t="s">
        <v>25</v>
      </c>
      <c r="B14" s="2" t="s">
        <v>24</v>
      </c>
      <c r="C14" s="5">
        <v>104578</v>
      </c>
      <c r="D14" s="5">
        <f t="shared" si="0"/>
        <v>111898.46</v>
      </c>
      <c r="E14" s="5">
        <f t="shared" si="0"/>
        <v>119731.35220000001</v>
      </c>
      <c r="F14" s="8">
        <f t="shared" si="0"/>
        <v>128112.54685400001</v>
      </c>
      <c r="G14" s="13" t="s">
        <v>183</v>
      </c>
      <c r="H14" s="13">
        <v>0</v>
      </c>
      <c r="I14" s="13">
        <v>0</v>
      </c>
      <c r="J14" s="13">
        <v>0</v>
      </c>
      <c r="K14" s="13" t="s">
        <v>187</v>
      </c>
      <c r="L14" s="13">
        <v>104578</v>
      </c>
      <c r="M14" s="13">
        <v>0</v>
      </c>
      <c r="N14" s="18">
        <v>7.0000000000000007E-2</v>
      </c>
    </row>
    <row r="15" spans="1:14" x14ac:dyDescent="0.3">
      <c r="A15" s="2" t="s">
        <v>26</v>
      </c>
      <c r="B15" s="2" t="s">
        <v>27</v>
      </c>
      <c r="C15" s="5">
        <v>84826</v>
      </c>
      <c r="D15" s="5">
        <f t="shared" si="0"/>
        <v>90763.82</v>
      </c>
      <c r="E15" s="5">
        <f t="shared" si="0"/>
        <v>97117.287400000016</v>
      </c>
      <c r="F15" s="8">
        <f t="shared" si="0"/>
        <v>103915.49751800002</v>
      </c>
      <c r="G15" s="13" t="s">
        <v>183</v>
      </c>
      <c r="H15" s="13">
        <v>0</v>
      </c>
      <c r="I15" s="13">
        <v>0</v>
      </c>
      <c r="J15" s="13">
        <v>50490.55</v>
      </c>
      <c r="K15" s="13" t="s">
        <v>187</v>
      </c>
      <c r="L15" s="13">
        <v>34335.449999999997</v>
      </c>
      <c r="M15" s="13">
        <v>59.52</v>
      </c>
      <c r="N15" s="18">
        <v>7.0000000000000007E-2</v>
      </c>
    </row>
    <row r="16" spans="1:14" x14ac:dyDescent="0.3">
      <c r="A16" s="2" t="s">
        <v>28</v>
      </c>
      <c r="B16" s="2" t="s">
        <v>29</v>
      </c>
      <c r="C16" s="5">
        <v>450280</v>
      </c>
      <c r="D16" s="5">
        <f t="shared" si="0"/>
        <v>481799.60000000003</v>
      </c>
      <c r="E16" s="5">
        <f t="shared" si="0"/>
        <v>515525.57200000004</v>
      </c>
      <c r="F16" s="8">
        <f t="shared" si="0"/>
        <v>551612.36204000004</v>
      </c>
      <c r="G16" s="13" t="s">
        <v>183</v>
      </c>
      <c r="H16" s="13">
        <v>0</v>
      </c>
      <c r="I16" s="13">
        <v>0</v>
      </c>
      <c r="J16" s="13">
        <v>321122.03000000003</v>
      </c>
      <c r="K16" s="13" t="s">
        <v>187</v>
      </c>
      <c r="L16" s="13">
        <v>129157.97</v>
      </c>
      <c r="M16" s="13">
        <v>71.31</v>
      </c>
      <c r="N16" s="18">
        <v>7.0000000000000007E-2</v>
      </c>
    </row>
    <row r="17" spans="1:14" x14ac:dyDescent="0.3">
      <c r="A17" s="2" t="s">
        <v>30</v>
      </c>
      <c r="B17" s="2" t="s">
        <v>31</v>
      </c>
      <c r="C17" s="5">
        <v>1365562</v>
      </c>
      <c r="D17" s="5">
        <f t="shared" si="0"/>
        <v>1461151.34</v>
      </c>
      <c r="E17" s="5">
        <f t="shared" si="0"/>
        <v>1563431.9338000002</v>
      </c>
      <c r="F17" s="8">
        <f t="shared" si="0"/>
        <v>1672872.1691660003</v>
      </c>
      <c r="G17" s="13" t="s">
        <v>183</v>
      </c>
      <c r="H17" s="13">
        <v>0</v>
      </c>
      <c r="I17" s="13">
        <v>0</v>
      </c>
      <c r="J17" s="13">
        <v>980474.93</v>
      </c>
      <c r="K17" s="13" t="s">
        <v>187</v>
      </c>
      <c r="L17" s="13">
        <v>385087.07</v>
      </c>
      <c r="M17" s="13">
        <v>71.8</v>
      </c>
      <c r="N17" s="18">
        <v>7.0000000000000007E-2</v>
      </c>
    </row>
    <row r="18" spans="1:14" x14ac:dyDescent="0.3">
      <c r="A18" s="2" t="s">
        <v>32</v>
      </c>
      <c r="B18" s="2" t="s">
        <v>33</v>
      </c>
      <c r="C18" s="5">
        <v>34542</v>
      </c>
      <c r="D18" s="5">
        <f t="shared" si="0"/>
        <v>36959.94</v>
      </c>
      <c r="E18" s="5">
        <f t="shared" si="0"/>
        <v>39547.135800000004</v>
      </c>
      <c r="F18" s="8">
        <f t="shared" si="0"/>
        <v>42315.435306000007</v>
      </c>
      <c r="G18" s="13" t="s">
        <v>183</v>
      </c>
      <c r="H18" s="13">
        <v>0</v>
      </c>
      <c r="I18" s="13">
        <v>0</v>
      </c>
      <c r="J18" s="13">
        <v>22605.439999999999</v>
      </c>
      <c r="K18" s="13" t="s">
        <v>187</v>
      </c>
      <c r="L18" s="13">
        <v>11936.56</v>
      </c>
      <c r="M18" s="13">
        <v>65.44</v>
      </c>
      <c r="N18" s="18">
        <v>7.0000000000000007E-2</v>
      </c>
    </row>
    <row r="19" spans="1:14" x14ac:dyDescent="0.3">
      <c r="A19" s="2" t="s">
        <v>34</v>
      </c>
      <c r="B19" s="2" t="s">
        <v>35</v>
      </c>
      <c r="C19" s="5">
        <v>28143</v>
      </c>
      <c r="D19" s="5">
        <f t="shared" si="0"/>
        <v>30113.010000000002</v>
      </c>
      <c r="E19" s="5">
        <f t="shared" si="0"/>
        <v>32220.920700000002</v>
      </c>
      <c r="F19" s="8">
        <f t="shared" si="0"/>
        <v>34476.385149000002</v>
      </c>
      <c r="G19" s="13" t="s">
        <v>183</v>
      </c>
      <c r="H19" s="13">
        <v>0</v>
      </c>
      <c r="I19" s="13">
        <v>0</v>
      </c>
      <c r="J19" s="13">
        <v>14071.42</v>
      </c>
      <c r="K19" s="13" t="s">
        <v>187</v>
      </c>
      <c r="L19" s="13">
        <v>14071.58</v>
      </c>
      <c r="M19" s="13">
        <v>49.99</v>
      </c>
      <c r="N19" s="18">
        <v>7.0000000000000007E-2</v>
      </c>
    </row>
    <row r="20" spans="1:14" x14ac:dyDescent="0.3">
      <c r="A20" s="2" t="s">
        <v>36</v>
      </c>
      <c r="B20" s="2" t="s">
        <v>37</v>
      </c>
      <c r="C20" s="5">
        <v>43546</v>
      </c>
      <c r="D20" s="5">
        <f t="shared" si="0"/>
        <v>46594.22</v>
      </c>
      <c r="E20" s="5">
        <f t="shared" si="0"/>
        <v>49855.815400000007</v>
      </c>
      <c r="F20" s="8">
        <f t="shared" si="0"/>
        <v>53345.722478000011</v>
      </c>
      <c r="G20" s="13" t="s">
        <v>183</v>
      </c>
      <c r="H20" s="13">
        <v>0</v>
      </c>
      <c r="I20" s="13">
        <v>0</v>
      </c>
      <c r="J20" s="13">
        <v>58209.41</v>
      </c>
      <c r="K20" s="13" t="s">
        <v>187</v>
      </c>
      <c r="L20" s="13">
        <v>-14663.41</v>
      </c>
      <c r="M20" s="13">
        <v>133.66999999999999</v>
      </c>
      <c r="N20" s="18">
        <v>7.0000000000000007E-2</v>
      </c>
    </row>
    <row r="21" spans="1:14" x14ac:dyDescent="0.3">
      <c r="A21" s="2" t="s">
        <v>38</v>
      </c>
      <c r="B21" s="2" t="s">
        <v>39</v>
      </c>
      <c r="C21" s="5">
        <v>621925</v>
      </c>
      <c r="D21" s="5">
        <f t="shared" si="0"/>
        <v>665459.75</v>
      </c>
      <c r="E21" s="5">
        <f t="shared" si="0"/>
        <v>712041.9325</v>
      </c>
      <c r="F21" s="8">
        <f t="shared" si="0"/>
        <v>761884.86777500005</v>
      </c>
      <c r="G21" s="13" t="s">
        <v>183</v>
      </c>
      <c r="H21" s="13">
        <v>0</v>
      </c>
      <c r="I21" s="13">
        <v>0</v>
      </c>
      <c r="J21" s="13">
        <v>415977.24</v>
      </c>
      <c r="K21" s="13" t="s">
        <v>187</v>
      </c>
      <c r="L21" s="13">
        <v>205947.76</v>
      </c>
      <c r="M21" s="13">
        <v>66.88</v>
      </c>
      <c r="N21" s="18">
        <v>7.0000000000000007E-2</v>
      </c>
    </row>
    <row r="22" spans="1:14" x14ac:dyDescent="0.3">
      <c r="A22" s="2" t="s">
        <v>40</v>
      </c>
      <c r="B22" s="2" t="s">
        <v>41</v>
      </c>
      <c r="C22" s="5">
        <v>42432</v>
      </c>
      <c r="D22" s="5">
        <f t="shared" si="0"/>
        <v>45402.240000000005</v>
      </c>
      <c r="E22" s="5">
        <f t="shared" si="0"/>
        <v>48580.39680000001</v>
      </c>
      <c r="F22" s="8">
        <f t="shared" si="0"/>
        <v>51981.024576000011</v>
      </c>
      <c r="G22" s="13" t="s">
        <v>183</v>
      </c>
      <c r="H22" s="13">
        <v>0</v>
      </c>
      <c r="I22" s="13">
        <v>0</v>
      </c>
      <c r="J22" s="13">
        <v>27200</v>
      </c>
      <c r="K22" s="13" t="s">
        <v>187</v>
      </c>
      <c r="L22" s="13">
        <v>15232</v>
      </c>
      <c r="M22" s="13">
        <v>64.099999999999994</v>
      </c>
      <c r="N22" s="18">
        <v>7.0000000000000007E-2</v>
      </c>
    </row>
    <row r="23" spans="1:14" x14ac:dyDescent="0.3">
      <c r="A23" s="2" t="s">
        <v>42</v>
      </c>
      <c r="B23" s="2" t="s">
        <v>43</v>
      </c>
      <c r="C23" s="5">
        <v>226717</v>
      </c>
      <c r="D23" s="5">
        <f t="shared" ref="D23:F41" si="1">C23*1.07</f>
        <v>242587.19</v>
      </c>
      <c r="E23" s="5">
        <f t="shared" si="1"/>
        <v>259568.29330000002</v>
      </c>
      <c r="F23" s="8">
        <f t="shared" si="1"/>
        <v>277738.07383100002</v>
      </c>
      <c r="G23" s="13" t="s">
        <v>183</v>
      </c>
      <c r="H23" s="13">
        <v>0</v>
      </c>
      <c r="I23" s="13">
        <v>0</v>
      </c>
      <c r="J23" s="13">
        <v>155053.68</v>
      </c>
      <c r="K23" s="13" t="s">
        <v>187</v>
      </c>
      <c r="L23" s="13">
        <v>71663.320000000007</v>
      </c>
      <c r="M23" s="13">
        <v>68.39</v>
      </c>
      <c r="N23" s="18">
        <v>7.0000000000000007E-2</v>
      </c>
    </row>
    <row r="24" spans="1:14" x14ac:dyDescent="0.3">
      <c r="A24" s="2" t="s">
        <v>44</v>
      </c>
      <c r="B24" s="2" t="s">
        <v>45</v>
      </c>
      <c r="C24" s="5">
        <v>402992</v>
      </c>
      <c r="D24" s="5">
        <f t="shared" si="1"/>
        <v>431201.44</v>
      </c>
      <c r="E24" s="5">
        <f t="shared" si="1"/>
        <v>461385.54080000002</v>
      </c>
      <c r="F24" s="8">
        <f t="shared" si="1"/>
        <v>493682.52865600004</v>
      </c>
      <c r="G24" s="13" t="s">
        <v>183</v>
      </c>
      <c r="H24" s="13">
        <v>0</v>
      </c>
      <c r="I24" s="13">
        <v>0</v>
      </c>
      <c r="J24" s="13">
        <v>274430.88</v>
      </c>
      <c r="K24" s="13" t="s">
        <v>187</v>
      </c>
      <c r="L24" s="13">
        <v>128561.12</v>
      </c>
      <c r="M24" s="13">
        <v>68.09</v>
      </c>
      <c r="N24" s="18">
        <v>7.0000000000000007E-2</v>
      </c>
    </row>
    <row r="25" spans="1:14" x14ac:dyDescent="0.3">
      <c r="A25" s="2" t="s">
        <v>46</v>
      </c>
      <c r="B25" s="2" t="s">
        <v>47</v>
      </c>
      <c r="C25" s="5">
        <v>40800</v>
      </c>
      <c r="D25" s="5">
        <f t="shared" si="1"/>
        <v>43656</v>
      </c>
      <c r="E25" s="5">
        <f t="shared" si="1"/>
        <v>46711.920000000006</v>
      </c>
      <c r="F25" s="8">
        <f t="shared" si="1"/>
        <v>49981.754400000005</v>
      </c>
      <c r="G25" s="13" t="s">
        <v>183</v>
      </c>
      <c r="H25" s="13">
        <v>0</v>
      </c>
      <c r="I25" s="13">
        <v>0</v>
      </c>
      <c r="J25" s="13">
        <v>27200</v>
      </c>
      <c r="K25" s="13" t="s">
        <v>187</v>
      </c>
      <c r="L25" s="13">
        <v>13600</v>
      </c>
      <c r="M25" s="13">
        <v>66.66</v>
      </c>
      <c r="N25" s="18">
        <v>7.0000000000000007E-2</v>
      </c>
    </row>
    <row r="26" spans="1:14" x14ac:dyDescent="0.3">
      <c r="A26" s="2" t="s">
        <v>48</v>
      </c>
      <c r="B26" s="2" t="s">
        <v>49</v>
      </c>
      <c r="C26" s="5">
        <v>718351</v>
      </c>
      <c r="D26" s="5">
        <f t="shared" si="1"/>
        <v>768635.57000000007</v>
      </c>
      <c r="E26" s="5">
        <f t="shared" si="1"/>
        <v>822440.05990000011</v>
      </c>
      <c r="F26" s="8">
        <f t="shared" si="1"/>
        <v>880010.86409300019</v>
      </c>
      <c r="G26" s="13" t="s">
        <v>183</v>
      </c>
      <c r="H26" s="13">
        <v>0</v>
      </c>
      <c r="I26" s="13">
        <v>0</v>
      </c>
      <c r="J26" s="13">
        <v>481222.38</v>
      </c>
      <c r="K26" s="13" t="s">
        <v>187</v>
      </c>
      <c r="L26" s="13">
        <v>237128.62</v>
      </c>
      <c r="M26" s="13">
        <v>66.98</v>
      </c>
      <c r="N26" s="18">
        <v>7.0000000000000007E-2</v>
      </c>
    </row>
    <row r="27" spans="1:14" x14ac:dyDescent="0.3">
      <c r="A27" s="2" t="s">
        <v>50</v>
      </c>
      <c r="B27" s="2" t="s">
        <v>51</v>
      </c>
      <c r="C27" s="5">
        <v>42432</v>
      </c>
      <c r="D27" s="5">
        <f t="shared" si="1"/>
        <v>45402.240000000005</v>
      </c>
      <c r="E27" s="5">
        <f t="shared" si="1"/>
        <v>48580.39680000001</v>
      </c>
      <c r="F27" s="8">
        <f t="shared" si="1"/>
        <v>51981.024576000011</v>
      </c>
      <c r="G27" s="13" t="s">
        <v>183</v>
      </c>
      <c r="H27" s="13">
        <v>0</v>
      </c>
      <c r="I27" s="13">
        <v>0</v>
      </c>
      <c r="J27" s="13">
        <v>27200</v>
      </c>
      <c r="K27" s="13" t="s">
        <v>187</v>
      </c>
      <c r="L27" s="13">
        <v>15232</v>
      </c>
      <c r="M27" s="13">
        <v>64.099999999999994</v>
      </c>
      <c r="N27" s="18">
        <v>7.0000000000000007E-2</v>
      </c>
    </row>
    <row r="28" spans="1:14" x14ac:dyDescent="0.3">
      <c r="A28" s="2" t="s">
        <v>52</v>
      </c>
      <c r="B28" s="2" t="s">
        <v>53</v>
      </c>
      <c r="C28" s="5">
        <v>2100000</v>
      </c>
      <c r="D28" s="5">
        <f t="shared" si="1"/>
        <v>2247000</v>
      </c>
      <c r="E28" s="5">
        <f t="shared" si="1"/>
        <v>2404290</v>
      </c>
      <c r="F28" s="8">
        <f t="shared" si="1"/>
        <v>2572590.3000000003</v>
      </c>
      <c r="G28" s="13" t="s">
        <v>183</v>
      </c>
      <c r="H28" s="13">
        <v>0</v>
      </c>
      <c r="I28" s="13">
        <v>0</v>
      </c>
      <c r="J28" s="13">
        <v>1809070.26</v>
      </c>
      <c r="K28" s="13" t="s">
        <v>187</v>
      </c>
      <c r="L28" s="13">
        <v>290929.74</v>
      </c>
      <c r="M28" s="13">
        <v>86.14</v>
      </c>
      <c r="N28" s="18">
        <v>7.0000000000000007E-2</v>
      </c>
    </row>
    <row r="29" spans="1:14" x14ac:dyDescent="0.3">
      <c r="A29" s="2" t="s">
        <v>54</v>
      </c>
      <c r="B29" s="2" t="s">
        <v>55</v>
      </c>
      <c r="C29" s="5">
        <v>3125699</v>
      </c>
      <c r="D29" s="5">
        <f t="shared" si="1"/>
        <v>3344497.93</v>
      </c>
      <c r="E29" s="5">
        <f t="shared" si="1"/>
        <v>3578612.7851000004</v>
      </c>
      <c r="F29" s="8">
        <f t="shared" si="1"/>
        <v>3829115.6800570008</v>
      </c>
      <c r="G29" s="13" t="s">
        <v>183</v>
      </c>
      <c r="H29" s="13">
        <v>0</v>
      </c>
      <c r="I29" s="13">
        <v>0</v>
      </c>
      <c r="J29" s="13">
        <v>2208086.96</v>
      </c>
      <c r="K29" s="13" t="s">
        <v>187</v>
      </c>
      <c r="L29" s="13">
        <v>917612.04</v>
      </c>
      <c r="M29" s="13">
        <v>70.64</v>
      </c>
      <c r="N29" s="18">
        <v>7.0000000000000007E-2</v>
      </c>
    </row>
    <row r="30" spans="1:14" x14ac:dyDescent="0.3">
      <c r="A30" s="2" t="s">
        <v>56</v>
      </c>
      <c r="B30" s="2" t="s">
        <v>57</v>
      </c>
      <c r="C30" s="5">
        <v>381888</v>
      </c>
      <c r="D30" s="5">
        <f t="shared" si="1"/>
        <v>408620.16000000003</v>
      </c>
      <c r="E30" s="5">
        <f t="shared" si="1"/>
        <v>437223.57120000006</v>
      </c>
      <c r="F30" s="8">
        <f t="shared" si="1"/>
        <v>467829.22118400008</v>
      </c>
      <c r="G30" s="13" t="s">
        <v>183</v>
      </c>
      <c r="H30" s="13">
        <v>0</v>
      </c>
      <c r="I30" s="13">
        <v>0</v>
      </c>
      <c r="J30" s="13">
        <v>244800</v>
      </c>
      <c r="K30" s="13" t="s">
        <v>187</v>
      </c>
      <c r="L30" s="13">
        <v>137088</v>
      </c>
      <c r="M30" s="13">
        <v>64.099999999999994</v>
      </c>
      <c r="N30" s="18">
        <v>7.0000000000000007E-2</v>
      </c>
    </row>
    <row r="31" spans="1:14" x14ac:dyDescent="0.3">
      <c r="A31" s="2" t="s">
        <v>58</v>
      </c>
      <c r="B31" s="2" t="s">
        <v>59</v>
      </c>
      <c r="C31" s="5">
        <v>4402608</v>
      </c>
      <c r="D31" s="5">
        <f t="shared" si="1"/>
        <v>4710790.5600000005</v>
      </c>
      <c r="E31" s="5">
        <f t="shared" si="1"/>
        <v>5040545.8992000008</v>
      </c>
      <c r="F31" s="8">
        <f t="shared" si="1"/>
        <v>5393384.1121440008</v>
      </c>
      <c r="G31" s="13" t="s">
        <v>183</v>
      </c>
      <c r="H31" s="13">
        <v>0</v>
      </c>
      <c r="I31" s="13">
        <v>0</v>
      </c>
      <c r="J31" s="13">
        <v>2808685.48</v>
      </c>
      <c r="K31" s="13" t="s">
        <v>187</v>
      </c>
      <c r="L31" s="13">
        <v>1593922.52</v>
      </c>
      <c r="M31" s="13">
        <v>63.79</v>
      </c>
      <c r="N31" s="18">
        <v>7.0000000000000007E-2</v>
      </c>
    </row>
    <row r="32" spans="1:14" x14ac:dyDescent="0.3">
      <c r="A32" s="2" t="s">
        <v>60</v>
      </c>
      <c r="B32" s="2" t="s">
        <v>61</v>
      </c>
      <c r="C32" s="5">
        <v>1709127</v>
      </c>
      <c r="D32" s="5">
        <f t="shared" si="1"/>
        <v>1828765.8900000001</v>
      </c>
      <c r="E32" s="5">
        <f t="shared" si="1"/>
        <v>1956779.5023000003</v>
      </c>
      <c r="F32" s="8">
        <f t="shared" si="1"/>
        <v>2093754.0674610005</v>
      </c>
      <c r="G32" s="13" t="s">
        <v>183</v>
      </c>
      <c r="H32" s="13">
        <v>0</v>
      </c>
      <c r="I32" s="13">
        <v>0</v>
      </c>
      <c r="J32" s="13">
        <v>1270685.72</v>
      </c>
      <c r="K32" s="13" t="s">
        <v>187</v>
      </c>
      <c r="L32" s="13">
        <v>438441.28</v>
      </c>
      <c r="M32" s="13">
        <v>74.34</v>
      </c>
      <c r="N32" s="18">
        <v>7.0000000000000007E-2</v>
      </c>
    </row>
    <row r="33" spans="1:14" x14ac:dyDescent="0.3">
      <c r="A33" s="2" t="s">
        <v>62</v>
      </c>
      <c r="B33" s="2" t="s">
        <v>63</v>
      </c>
      <c r="C33" s="5">
        <v>1131816</v>
      </c>
      <c r="D33" s="5">
        <f t="shared" si="1"/>
        <v>1211043.1200000001</v>
      </c>
      <c r="E33" s="5">
        <f t="shared" si="1"/>
        <v>1295816.1384000003</v>
      </c>
      <c r="F33" s="8">
        <f t="shared" si="1"/>
        <v>1386523.2680880004</v>
      </c>
      <c r="G33" s="13" t="s">
        <v>183</v>
      </c>
      <c r="H33" s="13">
        <v>0</v>
      </c>
      <c r="I33" s="13">
        <v>0</v>
      </c>
      <c r="J33" s="13">
        <v>706572</v>
      </c>
      <c r="K33" s="13" t="s">
        <v>187</v>
      </c>
      <c r="L33" s="13">
        <v>425244</v>
      </c>
      <c r="M33" s="13">
        <v>62.42</v>
      </c>
      <c r="N33" s="18">
        <v>7.0000000000000007E-2</v>
      </c>
    </row>
    <row r="34" spans="1:14" x14ac:dyDescent="0.3">
      <c r="A34" s="2" t="s">
        <v>64</v>
      </c>
      <c r="B34" s="2" t="s">
        <v>65</v>
      </c>
      <c r="C34" s="5">
        <v>46644</v>
      </c>
      <c r="D34" s="5">
        <f t="shared" si="1"/>
        <v>49909.08</v>
      </c>
      <c r="E34" s="5">
        <f t="shared" si="1"/>
        <v>53402.715600000003</v>
      </c>
      <c r="F34" s="8">
        <f t="shared" si="1"/>
        <v>57140.905692000008</v>
      </c>
      <c r="G34" s="13" t="s">
        <v>183</v>
      </c>
      <c r="H34" s="13">
        <v>0</v>
      </c>
      <c r="I34" s="13">
        <v>0</v>
      </c>
      <c r="J34" s="13">
        <v>31198.29</v>
      </c>
      <c r="K34" s="13" t="s">
        <v>187</v>
      </c>
      <c r="L34" s="13">
        <v>15445.71</v>
      </c>
      <c r="M34" s="13">
        <v>66.88</v>
      </c>
      <c r="N34" s="18">
        <v>7.0000000000000007E-2</v>
      </c>
    </row>
    <row r="35" spans="1:14" x14ac:dyDescent="0.3">
      <c r="A35" s="2" t="s">
        <v>66</v>
      </c>
      <c r="B35" s="2" t="s">
        <v>67</v>
      </c>
      <c r="C35" s="5">
        <v>19004</v>
      </c>
      <c r="D35" s="5">
        <f t="shared" si="1"/>
        <v>20334.280000000002</v>
      </c>
      <c r="E35" s="5">
        <f t="shared" si="1"/>
        <v>21757.679600000003</v>
      </c>
      <c r="F35" s="8">
        <f t="shared" si="1"/>
        <v>23280.717172000004</v>
      </c>
      <c r="G35" s="13" t="s">
        <v>183</v>
      </c>
      <c r="H35" s="13">
        <v>0</v>
      </c>
      <c r="I35" s="13">
        <v>0</v>
      </c>
      <c r="J35" s="13">
        <v>12364.8</v>
      </c>
      <c r="K35" s="13" t="s">
        <v>187</v>
      </c>
      <c r="L35" s="13">
        <v>6639.2</v>
      </c>
      <c r="M35" s="13">
        <v>65.06</v>
      </c>
      <c r="N35" s="18">
        <v>7.0000000000000007E-2</v>
      </c>
    </row>
    <row r="36" spans="1:14" x14ac:dyDescent="0.3">
      <c r="A36" s="2" t="s">
        <v>68</v>
      </c>
      <c r="B36" s="2" t="s">
        <v>69</v>
      </c>
      <c r="C36" s="5">
        <v>30224</v>
      </c>
      <c r="D36" s="5">
        <f t="shared" si="1"/>
        <v>32339.68</v>
      </c>
      <c r="E36" s="5">
        <f t="shared" si="1"/>
        <v>34603.457600000002</v>
      </c>
      <c r="F36" s="8">
        <f t="shared" si="1"/>
        <v>37025.699632000003</v>
      </c>
      <c r="G36" s="13" t="s">
        <v>183</v>
      </c>
      <c r="H36" s="13">
        <v>0</v>
      </c>
      <c r="I36" s="13">
        <v>0</v>
      </c>
      <c r="J36" s="13">
        <v>20582.330000000002</v>
      </c>
      <c r="K36" s="13" t="s">
        <v>187</v>
      </c>
      <c r="L36" s="13">
        <v>9641.67</v>
      </c>
      <c r="M36" s="13">
        <v>68.09</v>
      </c>
      <c r="N36" s="18">
        <v>7.0000000000000007E-2</v>
      </c>
    </row>
    <row r="37" spans="1:14" x14ac:dyDescent="0.3">
      <c r="A37" s="2" t="s">
        <v>70</v>
      </c>
      <c r="B37" s="2" t="s">
        <v>71</v>
      </c>
      <c r="C37" s="5">
        <v>31614</v>
      </c>
      <c r="D37" s="5">
        <f t="shared" si="1"/>
        <v>33826.980000000003</v>
      </c>
      <c r="E37" s="5">
        <f t="shared" si="1"/>
        <v>36194.868600000009</v>
      </c>
      <c r="F37" s="8">
        <f t="shared" si="1"/>
        <v>38728.509402000011</v>
      </c>
      <c r="G37" s="13" t="s">
        <v>183</v>
      </c>
      <c r="H37" s="13">
        <v>0</v>
      </c>
      <c r="I37" s="13">
        <v>0</v>
      </c>
      <c r="J37" s="13">
        <v>20568</v>
      </c>
      <c r="K37" s="13" t="s">
        <v>187</v>
      </c>
      <c r="L37" s="13">
        <v>11046</v>
      </c>
      <c r="M37" s="13">
        <v>65.05</v>
      </c>
      <c r="N37" s="18">
        <v>7.0000000000000007E-2</v>
      </c>
    </row>
    <row r="38" spans="1:14" x14ac:dyDescent="0.3">
      <c r="A38" s="2" t="s">
        <v>72</v>
      </c>
      <c r="B38" s="2" t="s">
        <v>73</v>
      </c>
      <c r="C38" s="5">
        <v>53876</v>
      </c>
      <c r="D38" s="5">
        <f t="shared" si="1"/>
        <v>57647.320000000007</v>
      </c>
      <c r="E38" s="5">
        <f t="shared" si="1"/>
        <v>61682.63240000001</v>
      </c>
      <c r="F38" s="8">
        <f t="shared" si="1"/>
        <v>66000.41666800002</v>
      </c>
      <c r="G38" s="13" t="s">
        <v>183</v>
      </c>
      <c r="H38" s="13">
        <v>0</v>
      </c>
      <c r="I38" s="13">
        <v>0</v>
      </c>
      <c r="J38" s="13">
        <v>36091.699999999997</v>
      </c>
      <c r="K38" s="13" t="s">
        <v>187</v>
      </c>
      <c r="L38" s="13">
        <v>17784.3</v>
      </c>
      <c r="M38" s="13">
        <v>66.989999999999995</v>
      </c>
      <c r="N38" s="18">
        <v>7.0000000000000007E-2</v>
      </c>
    </row>
    <row r="39" spans="1:14" x14ac:dyDescent="0.3">
      <c r="A39" s="2" t="s">
        <v>74</v>
      </c>
      <c r="B39" s="2" t="s">
        <v>75</v>
      </c>
      <c r="C39" s="5">
        <v>243712</v>
      </c>
      <c r="D39" s="5">
        <f t="shared" si="1"/>
        <v>260771.84000000003</v>
      </c>
      <c r="E39" s="5">
        <f t="shared" si="1"/>
        <v>279025.86880000005</v>
      </c>
      <c r="F39" s="8">
        <f t="shared" si="1"/>
        <v>298557.6796160001</v>
      </c>
      <c r="G39" s="13" t="s">
        <v>183</v>
      </c>
      <c r="H39" s="13">
        <v>0</v>
      </c>
      <c r="I39" s="13">
        <v>0</v>
      </c>
      <c r="J39" s="13">
        <v>165562.03</v>
      </c>
      <c r="K39" s="13" t="s">
        <v>187</v>
      </c>
      <c r="L39" s="13">
        <v>78149.97</v>
      </c>
      <c r="M39" s="13">
        <v>67.930000000000007</v>
      </c>
      <c r="N39" s="18">
        <v>7.0000000000000007E-2</v>
      </c>
    </row>
    <row r="40" spans="1:14" x14ac:dyDescent="0.3">
      <c r="A40" s="2" t="s">
        <v>76</v>
      </c>
      <c r="B40" s="2" t="s">
        <v>77</v>
      </c>
      <c r="C40" s="5">
        <v>158576</v>
      </c>
      <c r="D40" s="5">
        <f t="shared" si="1"/>
        <v>169676.32</v>
      </c>
      <c r="E40" s="5">
        <f t="shared" si="1"/>
        <v>181553.66240000003</v>
      </c>
      <c r="F40" s="8">
        <f t="shared" si="1"/>
        <v>194262.41876800003</v>
      </c>
      <c r="G40" s="13" t="s">
        <v>183</v>
      </c>
      <c r="H40" s="13">
        <v>0</v>
      </c>
      <c r="I40" s="13">
        <v>0</v>
      </c>
      <c r="J40" s="13">
        <v>102564</v>
      </c>
      <c r="K40" s="13" t="s">
        <v>187</v>
      </c>
      <c r="L40" s="13">
        <v>56012</v>
      </c>
      <c r="M40" s="13">
        <v>64.67</v>
      </c>
      <c r="N40" s="18">
        <v>7.0000000000000007E-2</v>
      </c>
    </row>
    <row r="41" spans="1:14" x14ac:dyDescent="0.3">
      <c r="A41" s="2" t="s">
        <v>78</v>
      </c>
      <c r="B41" s="2" t="s">
        <v>79</v>
      </c>
      <c r="C41" s="5">
        <v>120257</v>
      </c>
      <c r="D41" s="5">
        <f t="shared" si="1"/>
        <v>128674.99</v>
      </c>
      <c r="E41" s="5">
        <f t="shared" si="1"/>
        <v>137682.23930000002</v>
      </c>
      <c r="F41" s="8">
        <f t="shared" si="1"/>
        <v>147319.99605100002</v>
      </c>
      <c r="G41" s="13" t="s">
        <v>183</v>
      </c>
      <c r="H41" s="13">
        <v>0</v>
      </c>
      <c r="I41" s="13">
        <v>0</v>
      </c>
      <c r="J41" s="13">
        <v>81018.16</v>
      </c>
      <c r="K41" s="13" t="s">
        <v>187</v>
      </c>
      <c r="L41" s="13">
        <v>39238.839999999997</v>
      </c>
      <c r="M41" s="13">
        <v>67.37</v>
      </c>
      <c r="N41" s="18">
        <v>7.0000000000000007E-2</v>
      </c>
    </row>
    <row r="42" spans="1:14" x14ac:dyDescent="0.3">
      <c r="A42" s="2" t="s">
        <v>80</v>
      </c>
      <c r="B42" s="2" t="s">
        <v>81</v>
      </c>
      <c r="C42" s="5">
        <v>280000</v>
      </c>
      <c r="D42" s="5">
        <v>180000</v>
      </c>
      <c r="E42" s="5">
        <f t="shared" ref="E42:E61" si="2">D42*1.054</f>
        <v>189720</v>
      </c>
      <c r="F42" s="8">
        <f t="shared" ref="F42:F61" si="3">E42*1.07</f>
        <v>203000.40000000002</v>
      </c>
      <c r="G42" s="13" t="s">
        <v>183</v>
      </c>
      <c r="H42" s="13">
        <v>0</v>
      </c>
      <c r="I42" s="13">
        <v>3240</v>
      </c>
      <c r="J42" s="13">
        <v>25341.21</v>
      </c>
      <c r="K42" s="13" t="s">
        <v>187</v>
      </c>
      <c r="L42" s="13">
        <v>254658.79</v>
      </c>
      <c r="M42" s="13">
        <v>9.0500000000000007</v>
      </c>
      <c r="N42" s="19">
        <v>5.6000000000000001E-2</v>
      </c>
    </row>
    <row r="43" spans="1:14" x14ac:dyDescent="0.3">
      <c r="A43" s="2" t="s">
        <v>82</v>
      </c>
      <c r="B43" s="2" t="s">
        <v>83</v>
      </c>
      <c r="C43" s="5">
        <v>90000</v>
      </c>
      <c r="D43" s="5">
        <v>90000</v>
      </c>
      <c r="E43" s="5">
        <f t="shared" si="2"/>
        <v>94860</v>
      </c>
      <c r="F43" s="8">
        <f t="shared" si="3"/>
        <v>101500.20000000001</v>
      </c>
      <c r="G43" s="13" t="s">
        <v>183</v>
      </c>
      <c r="H43" s="13">
        <v>0</v>
      </c>
      <c r="I43" s="13">
        <v>0</v>
      </c>
      <c r="J43" s="13">
        <v>0</v>
      </c>
      <c r="K43" s="13" t="s">
        <v>187</v>
      </c>
      <c r="L43" s="13">
        <v>90000</v>
      </c>
      <c r="M43" s="13">
        <v>0</v>
      </c>
      <c r="N43" s="19">
        <v>5.6000000000000001E-2</v>
      </c>
    </row>
    <row r="44" spans="1:14" x14ac:dyDescent="0.3">
      <c r="A44" s="2" t="s">
        <v>85</v>
      </c>
      <c r="B44" s="2" t="s">
        <v>86</v>
      </c>
      <c r="C44" s="5">
        <v>200000</v>
      </c>
      <c r="D44" s="5">
        <v>200000</v>
      </c>
      <c r="E44" s="5">
        <f t="shared" si="2"/>
        <v>210800</v>
      </c>
      <c r="F44" s="8">
        <f t="shared" si="3"/>
        <v>225556</v>
      </c>
      <c r="G44" s="13" t="s">
        <v>183</v>
      </c>
      <c r="H44" s="13">
        <v>0</v>
      </c>
      <c r="I44" s="13">
        <v>24522.83</v>
      </c>
      <c r="J44" s="13">
        <v>131400.26</v>
      </c>
      <c r="K44" s="13" t="s">
        <v>187</v>
      </c>
      <c r="L44" s="13">
        <v>68599.740000000005</v>
      </c>
      <c r="M44" s="13">
        <v>65.7</v>
      </c>
      <c r="N44" s="19">
        <v>5.6000000000000001E-2</v>
      </c>
    </row>
    <row r="45" spans="1:14" x14ac:dyDescent="0.3">
      <c r="A45" s="2" t="s">
        <v>87</v>
      </c>
      <c r="B45" s="2" t="s">
        <v>88</v>
      </c>
      <c r="C45" s="5">
        <v>30000</v>
      </c>
      <c r="D45" s="5">
        <v>30000</v>
      </c>
      <c r="E45" s="5">
        <f t="shared" si="2"/>
        <v>31620</v>
      </c>
      <c r="F45" s="8">
        <f t="shared" si="3"/>
        <v>33833.4</v>
      </c>
      <c r="G45" s="13" t="s">
        <v>183</v>
      </c>
      <c r="H45" s="13">
        <v>0</v>
      </c>
      <c r="I45" s="13">
        <v>2100</v>
      </c>
      <c r="J45" s="13">
        <v>19007.28</v>
      </c>
      <c r="K45" s="13" t="s">
        <v>187</v>
      </c>
      <c r="L45" s="13">
        <v>10992.72</v>
      </c>
      <c r="M45" s="13">
        <v>63.35</v>
      </c>
      <c r="N45" s="19">
        <v>5.6000000000000001E-2</v>
      </c>
    </row>
    <row r="46" spans="1:14" x14ac:dyDescent="0.3">
      <c r="A46" s="2" t="s">
        <v>89</v>
      </c>
      <c r="B46" s="2" t="s">
        <v>84</v>
      </c>
      <c r="C46" s="5">
        <v>50000</v>
      </c>
      <c r="D46" s="5">
        <v>50000</v>
      </c>
      <c r="E46" s="5">
        <f t="shared" si="2"/>
        <v>52700</v>
      </c>
      <c r="F46" s="8">
        <f t="shared" si="3"/>
        <v>56389</v>
      </c>
      <c r="G46" s="13" t="s">
        <v>183</v>
      </c>
      <c r="H46" s="13">
        <v>0</v>
      </c>
      <c r="I46" s="13">
        <v>0</v>
      </c>
      <c r="J46" s="13">
        <v>0</v>
      </c>
      <c r="K46" s="13" t="s">
        <v>187</v>
      </c>
      <c r="L46" s="13">
        <v>50000</v>
      </c>
      <c r="M46" s="13">
        <v>0</v>
      </c>
      <c r="N46" s="19">
        <v>5.6000000000000001E-2</v>
      </c>
    </row>
    <row r="47" spans="1:14" x14ac:dyDescent="0.3">
      <c r="A47" s="2" t="s">
        <v>90</v>
      </c>
      <c r="B47" s="2" t="s">
        <v>91</v>
      </c>
      <c r="C47" s="5">
        <v>45000</v>
      </c>
      <c r="D47" s="5">
        <v>45000</v>
      </c>
      <c r="E47" s="5">
        <f t="shared" si="2"/>
        <v>47430</v>
      </c>
      <c r="F47" s="8">
        <f t="shared" si="3"/>
        <v>50750.100000000006</v>
      </c>
      <c r="G47" s="13" t="s">
        <v>183</v>
      </c>
      <c r="H47" s="13">
        <v>0</v>
      </c>
      <c r="I47" s="13">
        <v>0</v>
      </c>
      <c r="J47" s="13">
        <v>0</v>
      </c>
      <c r="K47" s="13" t="s">
        <v>187</v>
      </c>
      <c r="L47" s="13">
        <v>45000</v>
      </c>
      <c r="M47" s="13">
        <v>0</v>
      </c>
      <c r="N47" s="19">
        <v>5.6000000000000001E-2</v>
      </c>
    </row>
    <row r="48" spans="1:14" x14ac:dyDescent="0.3">
      <c r="A48" s="2" t="s">
        <v>92</v>
      </c>
      <c r="B48" s="2" t="s">
        <v>93</v>
      </c>
      <c r="C48" s="5">
        <v>2000</v>
      </c>
      <c r="D48" s="5">
        <v>2000</v>
      </c>
      <c r="E48" s="5">
        <f t="shared" si="2"/>
        <v>2108</v>
      </c>
      <c r="F48" s="8">
        <f t="shared" si="3"/>
        <v>2255.56</v>
      </c>
      <c r="G48" s="13" t="s">
        <v>183</v>
      </c>
      <c r="H48" s="13">
        <v>0</v>
      </c>
      <c r="I48" s="13">
        <v>0</v>
      </c>
      <c r="J48" s="13">
        <v>248</v>
      </c>
      <c r="K48" s="13" t="s">
        <v>187</v>
      </c>
      <c r="L48" s="13">
        <v>1752</v>
      </c>
      <c r="M48" s="13">
        <v>12.4</v>
      </c>
      <c r="N48" s="19">
        <v>5.6000000000000001E-2</v>
      </c>
    </row>
    <row r="49" spans="1:14" x14ac:dyDescent="0.3">
      <c r="A49" s="2" t="s">
        <v>94</v>
      </c>
      <c r="B49" s="2" t="s">
        <v>95</v>
      </c>
      <c r="C49" s="5">
        <v>15000</v>
      </c>
      <c r="D49" s="5">
        <v>15000</v>
      </c>
      <c r="E49" s="5">
        <f t="shared" si="2"/>
        <v>15810</v>
      </c>
      <c r="F49" s="8">
        <f t="shared" si="3"/>
        <v>16916.7</v>
      </c>
      <c r="G49" s="13" t="s">
        <v>183</v>
      </c>
      <c r="H49" s="13">
        <v>0</v>
      </c>
      <c r="I49" s="13">
        <v>0</v>
      </c>
      <c r="J49" s="13">
        <v>0</v>
      </c>
      <c r="K49" s="13" t="s">
        <v>187</v>
      </c>
      <c r="L49" s="13">
        <v>15000</v>
      </c>
      <c r="M49" s="13">
        <v>0</v>
      </c>
      <c r="N49" s="19">
        <v>5.6000000000000001E-2</v>
      </c>
    </row>
    <row r="50" spans="1:14" x14ac:dyDescent="0.3">
      <c r="A50" s="2" t="s">
        <v>96</v>
      </c>
      <c r="B50" s="2" t="s">
        <v>97</v>
      </c>
      <c r="C50" s="5">
        <v>100000</v>
      </c>
      <c r="D50" s="5">
        <v>100000</v>
      </c>
      <c r="E50" s="5">
        <f t="shared" si="2"/>
        <v>105400</v>
      </c>
      <c r="F50" s="8">
        <f t="shared" si="3"/>
        <v>112778</v>
      </c>
      <c r="G50" s="13" t="s">
        <v>183</v>
      </c>
      <c r="H50" s="13">
        <v>0</v>
      </c>
      <c r="I50" s="13">
        <v>0</v>
      </c>
      <c r="J50" s="13">
        <v>0</v>
      </c>
      <c r="K50" s="13" t="s">
        <v>187</v>
      </c>
      <c r="L50" s="13">
        <v>100000</v>
      </c>
      <c r="M50" s="13">
        <v>0</v>
      </c>
      <c r="N50" s="19">
        <v>5.6000000000000001E-2</v>
      </c>
    </row>
    <row r="51" spans="1:14" x14ac:dyDescent="0.3">
      <c r="A51" s="2" t="s">
        <v>98</v>
      </c>
      <c r="B51" s="2" t="s">
        <v>99</v>
      </c>
      <c r="C51" s="5">
        <v>20000</v>
      </c>
      <c r="D51" s="5">
        <v>20000</v>
      </c>
      <c r="E51" s="5">
        <f t="shared" si="2"/>
        <v>21080</v>
      </c>
      <c r="F51" s="8">
        <f t="shared" si="3"/>
        <v>22555.600000000002</v>
      </c>
      <c r="G51" s="13" t="s">
        <v>183</v>
      </c>
      <c r="H51" s="13">
        <v>0</v>
      </c>
      <c r="I51" s="13">
        <v>0</v>
      </c>
      <c r="J51" s="13">
        <v>0</v>
      </c>
      <c r="K51" s="13" t="s">
        <v>187</v>
      </c>
      <c r="L51" s="13">
        <v>20000</v>
      </c>
      <c r="M51" s="13">
        <v>0</v>
      </c>
      <c r="N51" s="19">
        <v>5.6000000000000001E-2</v>
      </c>
    </row>
    <row r="52" spans="1:14" x14ac:dyDescent="0.3">
      <c r="A52" s="2" t="s">
        <v>100</v>
      </c>
      <c r="B52" s="2" t="s">
        <v>101</v>
      </c>
      <c r="C52" s="5">
        <v>214010</v>
      </c>
      <c r="D52" s="5">
        <f>C52*1.07</f>
        <v>228990.7</v>
      </c>
      <c r="E52" s="5">
        <f t="shared" si="2"/>
        <v>241356.19780000002</v>
      </c>
      <c r="F52" s="8">
        <f t="shared" si="3"/>
        <v>258251.13164600005</v>
      </c>
      <c r="G52" s="13" t="s">
        <v>183</v>
      </c>
      <c r="H52" s="13">
        <v>0</v>
      </c>
      <c r="I52" s="13">
        <v>0</v>
      </c>
      <c r="J52" s="13">
        <v>140190.35</v>
      </c>
      <c r="K52" s="13" t="s">
        <v>187</v>
      </c>
      <c r="L52" s="13">
        <v>73819.649999999994</v>
      </c>
      <c r="M52" s="13">
        <v>65.5</v>
      </c>
      <c r="N52" s="19">
        <v>5.6000000000000001E-2</v>
      </c>
    </row>
    <row r="53" spans="1:14" x14ac:dyDescent="0.3">
      <c r="A53" s="2" t="s">
        <v>102</v>
      </c>
      <c r="B53" s="2" t="s">
        <v>103</v>
      </c>
      <c r="C53" s="5">
        <v>133900</v>
      </c>
      <c r="D53" s="5">
        <v>133900</v>
      </c>
      <c r="E53" s="5">
        <f t="shared" si="2"/>
        <v>141130.6</v>
      </c>
      <c r="F53" s="8">
        <f t="shared" si="3"/>
        <v>151009.74200000003</v>
      </c>
      <c r="G53" s="13" t="s">
        <v>183</v>
      </c>
      <c r="H53" s="13">
        <v>0</v>
      </c>
      <c r="I53" s="13">
        <v>27858.6</v>
      </c>
      <c r="J53" s="13">
        <v>98113.54</v>
      </c>
      <c r="K53" s="13" t="s">
        <v>187</v>
      </c>
      <c r="L53" s="13">
        <v>35786.46</v>
      </c>
      <c r="M53" s="13">
        <v>73.27</v>
      </c>
      <c r="N53" s="19">
        <v>5.6000000000000001E-2</v>
      </c>
    </row>
    <row r="54" spans="1:14" x14ac:dyDescent="0.3">
      <c r="A54" s="2" t="s">
        <v>104</v>
      </c>
      <c r="B54" s="2" t="s">
        <v>105</v>
      </c>
      <c r="C54" s="5">
        <v>40000</v>
      </c>
      <c r="D54" s="5">
        <v>40000</v>
      </c>
      <c r="E54" s="5">
        <f t="shared" si="2"/>
        <v>42160</v>
      </c>
      <c r="F54" s="8">
        <f t="shared" si="3"/>
        <v>45111.200000000004</v>
      </c>
      <c r="G54" s="13" t="s">
        <v>183</v>
      </c>
      <c r="H54" s="13">
        <v>0</v>
      </c>
      <c r="I54" s="13">
        <v>0</v>
      </c>
      <c r="J54" s="13">
        <v>19703.669999999998</v>
      </c>
      <c r="K54" s="13" t="s">
        <v>187</v>
      </c>
      <c r="L54" s="13">
        <v>20296.330000000002</v>
      </c>
      <c r="M54" s="13">
        <v>49.25</v>
      </c>
      <c r="N54" s="19">
        <v>5.6000000000000001E-2</v>
      </c>
    </row>
    <row r="55" spans="1:14" x14ac:dyDescent="0.3">
      <c r="A55" s="2" t="s">
        <v>106</v>
      </c>
      <c r="B55" s="2" t="s">
        <v>107</v>
      </c>
      <c r="C55" s="5">
        <v>450000</v>
      </c>
      <c r="D55" s="5">
        <v>300000</v>
      </c>
      <c r="E55" s="5">
        <f t="shared" si="2"/>
        <v>316200</v>
      </c>
      <c r="F55" s="8">
        <f t="shared" si="3"/>
        <v>338334</v>
      </c>
      <c r="G55" s="13" t="s">
        <v>183</v>
      </c>
      <c r="H55" s="13">
        <v>0</v>
      </c>
      <c r="I55" s="13">
        <v>54461.54</v>
      </c>
      <c r="J55" s="13">
        <v>149745.72</v>
      </c>
      <c r="K55" s="13" t="s">
        <v>187</v>
      </c>
      <c r="L55" s="13">
        <v>300254.28000000003</v>
      </c>
      <c r="M55" s="13">
        <v>33.270000000000003</v>
      </c>
      <c r="N55" s="19">
        <v>5.6000000000000001E-2</v>
      </c>
    </row>
    <row r="56" spans="1:14" x14ac:dyDescent="0.3">
      <c r="A56" s="2" t="s">
        <v>108</v>
      </c>
      <c r="B56" s="2" t="s">
        <v>109</v>
      </c>
      <c r="C56" s="5">
        <v>30000</v>
      </c>
      <c r="D56" s="5">
        <v>30000</v>
      </c>
      <c r="E56" s="5">
        <f t="shared" si="2"/>
        <v>31620</v>
      </c>
      <c r="F56" s="8">
        <f t="shared" si="3"/>
        <v>33833.4</v>
      </c>
      <c r="G56" s="13" t="s">
        <v>183</v>
      </c>
      <c r="H56" s="13">
        <v>0</v>
      </c>
      <c r="I56" s="13">
        <v>0</v>
      </c>
      <c r="J56" s="13">
        <v>0</v>
      </c>
      <c r="K56" s="13" t="s">
        <v>187</v>
      </c>
      <c r="L56" s="13">
        <v>30000</v>
      </c>
      <c r="M56" s="13">
        <v>0</v>
      </c>
      <c r="N56" s="19">
        <v>5.6000000000000001E-2</v>
      </c>
    </row>
    <row r="57" spans="1:14" x14ac:dyDescent="0.3">
      <c r="A57" s="2" t="s">
        <v>110</v>
      </c>
      <c r="B57" s="2" t="s">
        <v>111</v>
      </c>
      <c r="C57" s="5">
        <v>300000</v>
      </c>
      <c r="D57" s="5">
        <v>300000</v>
      </c>
      <c r="E57" s="5">
        <f t="shared" si="2"/>
        <v>316200</v>
      </c>
      <c r="F57" s="8">
        <f t="shared" si="3"/>
        <v>338334</v>
      </c>
      <c r="G57" s="13" t="s">
        <v>183</v>
      </c>
      <c r="H57" s="13">
        <v>0</v>
      </c>
      <c r="I57" s="13">
        <v>190600</v>
      </c>
      <c r="J57" s="13">
        <v>92230.04</v>
      </c>
      <c r="K57" s="13" t="s">
        <v>187</v>
      </c>
      <c r="L57" s="13">
        <v>207769.96</v>
      </c>
      <c r="M57" s="13">
        <v>30.74</v>
      </c>
      <c r="N57" s="19">
        <v>5.6000000000000001E-2</v>
      </c>
    </row>
    <row r="58" spans="1:14" x14ac:dyDescent="0.3">
      <c r="A58" s="2" t="s">
        <v>112</v>
      </c>
      <c r="B58" s="2" t="s">
        <v>109</v>
      </c>
      <c r="C58" s="5">
        <v>70000</v>
      </c>
      <c r="D58" s="5">
        <v>70000</v>
      </c>
      <c r="E58" s="5">
        <f t="shared" si="2"/>
        <v>73780</v>
      </c>
      <c r="F58" s="8">
        <f t="shared" si="3"/>
        <v>78944.600000000006</v>
      </c>
      <c r="G58" s="13" t="s">
        <v>183</v>
      </c>
      <c r="H58" s="13">
        <v>0</v>
      </c>
      <c r="I58" s="13">
        <v>0</v>
      </c>
      <c r="J58" s="13">
        <v>0</v>
      </c>
      <c r="K58" s="13" t="s">
        <v>187</v>
      </c>
      <c r="L58" s="13">
        <v>70000</v>
      </c>
      <c r="M58" s="13">
        <v>0</v>
      </c>
      <c r="N58" s="19">
        <v>5.6000000000000001E-2</v>
      </c>
    </row>
    <row r="59" spans="1:14" x14ac:dyDescent="0.3">
      <c r="A59" s="2" t="s">
        <v>113</v>
      </c>
      <c r="B59" s="2" t="s">
        <v>114</v>
      </c>
      <c r="C59" s="5">
        <v>50000</v>
      </c>
      <c r="D59" s="5">
        <v>50000</v>
      </c>
      <c r="E59" s="5">
        <f t="shared" si="2"/>
        <v>52700</v>
      </c>
      <c r="F59" s="8">
        <f t="shared" si="3"/>
        <v>56389</v>
      </c>
      <c r="G59" s="13" t="s">
        <v>183</v>
      </c>
      <c r="H59" s="13">
        <v>0</v>
      </c>
      <c r="I59" s="13">
        <v>0</v>
      </c>
      <c r="J59" s="13">
        <v>0</v>
      </c>
      <c r="K59" s="13" t="s">
        <v>187</v>
      </c>
      <c r="L59" s="13">
        <v>50000</v>
      </c>
      <c r="M59" s="13">
        <v>0</v>
      </c>
      <c r="N59" s="19">
        <v>5.6000000000000001E-2</v>
      </c>
    </row>
    <row r="60" spans="1:14" x14ac:dyDescent="0.3">
      <c r="A60" s="2" t="s">
        <v>115</v>
      </c>
      <c r="B60" s="2" t="s">
        <v>116</v>
      </c>
      <c r="C60" s="5">
        <v>100000</v>
      </c>
      <c r="D60" s="5">
        <v>100000</v>
      </c>
      <c r="E60" s="5">
        <f t="shared" si="2"/>
        <v>105400</v>
      </c>
      <c r="F60" s="8">
        <f t="shared" si="3"/>
        <v>112778</v>
      </c>
      <c r="G60" s="13" t="s">
        <v>183</v>
      </c>
      <c r="H60" s="13">
        <v>0</v>
      </c>
      <c r="I60" s="13">
        <v>0</v>
      </c>
      <c r="J60" s="13">
        <v>26500</v>
      </c>
      <c r="K60" s="13" t="s">
        <v>187</v>
      </c>
      <c r="L60" s="13">
        <v>73500</v>
      </c>
      <c r="M60" s="13">
        <v>26.5</v>
      </c>
      <c r="N60" s="19">
        <v>5.6000000000000001E-2</v>
      </c>
    </row>
    <row r="61" spans="1:14" x14ac:dyDescent="0.3">
      <c r="A61" s="2" t="s">
        <v>117</v>
      </c>
      <c r="B61" s="2" t="s">
        <v>118</v>
      </c>
      <c r="C61" s="5">
        <v>3737000</v>
      </c>
      <c r="D61" s="5">
        <f>C61*1.052</f>
        <v>3931324</v>
      </c>
      <c r="E61" s="5">
        <f t="shared" si="2"/>
        <v>4143615.4960000003</v>
      </c>
      <c r="F61" s="8">
        <f t="shared" si="3"/>
        <v>4433668.5807200009</v>
      </c>
      <c r="G61" s="13" t="s">
        <v>183</v>
      </c>
      <c r="H61" s="13">
        <v>0</v>
      </c>
      <c r="I61" s="13">
        <v>0</v>
      </c>
      <c r="J61" s="13">
        <v>0</v>
      </c>
      <c r="K61" s="13" t="s">
        <v>187</v>
      </c>
      <c r="L61" s="13">
        <v>3737000</v>
      </c>
      <c r="M61" s="13">
        <v>0</v>
      </c>
      <c r="N61" s="19">
        <v>5.6000000000000001E-2</v>
      </c>
    </row>
    <row r="62" spans="1:14" ht="15" thickBot="1" x14ac:dyDescent="0.35">
      <c r="A62" s="3"/>
      <c r="B62" s="3"/>
      <c r="C62" s="6">
        <f>SUM(C5:C61)</f>
        <v>34989219</v>
      </c>
      <c r="D62" s="6">
        <f>SUM(D5:D61)</f>
        <v>36980785.329999998</v>
      </c>
      <c r="E62" s="6">
        <f>SUM(E5:E61)</f>
        <v>39474780.867900006</v>
      </c>
      <c r="F62" s="9">
        <f>SUM(F5:F61)</f>
        <v>42238015.528653003</v>
      </c>
    </row>
    <row r="63" spans="1:14" ht="15" thickTop="1" x14ac:dyDescent="0.3">
      <c r="A63" s="10" t="s">
        <v>119</v>
      </c>
    </row>
    <row r="64" spans="1:14" x14ac:dyDescent="0.3">
      <c r="A64" s="13" t="s">
        <v>120</v>
      </c>
      <c r="B64" s="13" t="s">
        <v>7</v>
      </c>
      <c r="C64" s="14">
        <v>16796809</v>
      </c>
      <c r="D64" s="14">
        <f t="shared" ref="D64:F79" si="4">C64*1.07</f>
        <v>17972585.630000003</v>
      </c>
      <c r="E64" s="14">
        <f t="shared" si="4"/>
        <v>19230666.624100003</v>
      </c>
      <c r="F64" s="14">
        <f t="shared" si="4"/>
        <v>20576813.287787005</v>
      </c>
      <c r="G64" s="13" t="s">
        <v>183</v>
      </c>
      <c r="H64" s="13">
        <v>0</v>
      </c>
      <c r="I64" s="13">
        <v>0</v>
      </c>
      <c r="J64" s="13">
        <v>12460171.529999999</v>
      </c>
      <c r="K64" s="13" t="s">
        <v>187</v>
      </c>
      <c r="L64" s="13">
        <v>4336637.47</v>
      </c>
      <c r="M64" s="13">
        <v>74.180000000000007</v>
      </c>
      <c r="N64" s="18">
        <v>7.0000000000000007E-2</v>
      </c>
    </row>
    <row r="65" spans="1:14" x14ac:dyDescent="0.3">
      <c r="A65" s="13" t="s">
        <v>121</v>
      </c>
      <c r="B65" s="13" t="s">
        <v>9</v>
      </c>
      <c r="C65" s="14">
        <v>353071</v>
      </c>
      <c r="D65" s="14">
        <f t="shared" si="4"/>
        <v>377785.97000000003</v>
      </c>
      <c r="E65" s="14">
        <f t="shared" si="4"/>
        <v>404230.98790000007</v>
      </c>
      <c r="F65" s="14">
        <f t="shared" si="4"/>
        <v>432527.15705300012</v>
      </c>
      <c r="G65" s="13" t="s">
        <v>183</v>
      </c>
      <c r="H65" s="13">
        <v>0</v>
      </c>
      <c r="I65" s="13">
        <v>0</v>
      </c>
      <c r="J65" s="13">
        <v>206322</v>
      </c>
      <c r="K65" s="13" t="s">
        <v>187</v>
      </c>
      <c r="L65" s="13">
        <v>146749</v>
      </c>
      <c r="M65" s="13">
        <v>58.43</v>
      </c>
      <c r="N65" s="18">
        <v>7.0000000000000007E-2</v>
      </c>
    </row>
    <row r="66" spans="1:14" x14ac:dyDescent="0.3">
      <c r="A66" s="13" t="s">
        <v>122</v>
      </c>
      <c r="B66" s="13" t="s">
        <v>11</v>
      </c>
      <c r="C66" s="14">
        <v>106464</v>
      </c>
      <c r="D66" s="14">
        <f t="shared" si="4"/>
        <v>113916.48000000001</v>
      </c>
      <c r="E66" s="14">
        <f t="shared" si="4"/>
        <v>121890.63360000002</v>
      </c>
      <c r="F66" s="14">
        <f t="shared" si="4"/>
        <v>130422.97795200003</v>
      </c>
      <c r="G66" s="13" t="s">
        <v>183</v>
      </c>
      <c r="H66" s="13">
        <v>0</v>
      </c>
      <c r="I66" s="13">
        <v>0</v>
      </c>
      <c r="J66" s="13">
        <v>71008.61</v>
      </c>
      <c r="K66" s="13" t="s">
        <v>187</v>
      </c>
      <c r="L66" s="13">
        <v>35455.39</v>
      </c>
      <c r="M66" s="13">
        <v>66.69</v>
      </c>
      <c r="N66" s="18">
        <v>7.0000000000000007E-2</v>
      </c>
    </row>
    <row r="67" spans="1:14" x14ac:dyDescent="0.3">
      <c r="A67" s="13" t="s">
        <v>123</v>
      </c>
      <c r="B67" s="13" t="s">
        <v>13</v>
      </c>
      <c r="C67" s="14">
        <v>149302</v>
      </c>
      <c r="D67" s="14">
        <f t="shared" si="4"/>
        <v>159753.14000000001</v>
      </c>
      <c r="E67" s="14">
        <f t="shared" si="4"/>
        <v>170935.85980000003</v>
      </c>
      <c r="F67" s="14">
        <f t="shared" si="4"/>
        <v>182901.36998600003</v>
      </c>
      <c r="G67" s="13" t="s">
        <v>183</v>
      </c>
      <c r="H67" s="13">
        <v>0</v>
      </c>
      <c r="I67" s="13">
        <v>0</v>
      </c>
      <c r="J67" s="13">
        <v>0</v>
      </c>
      <c r="K67" s="13" t="s">
        <v>187</v>
      </c>
      <c r="L67" s="13">
        <v>149302</v>
      </c>
      <c r="M67" s="13">
        <v>0</v>
      </c>
      <c r="N67" s="18">
        <v>7.0000000000000007E-2</v>
      </c>
    </row>
    <row r="68" spans="1:14" x14ac:dyDescent="0.3">
      <c r="A68" s="13" t="s">
        <v>124</v>
      </c>
      <c r="B68" s="13" t="s">
        <v>15</v>
      </c>
      <c r="C68" s="14">
        <v>3370500</v>
      </c>
      <c r="D68" s="14">
        <f t="shared" si="4"/>
        <v>3606435</v>
      </c>
      <c r="E68" s="14">
        <f t="shared" si="4"/>
        <v>3858885.45</v>
      </c>
      <c r="F68" s="14">
        <f t="shared" si="4"/>
        <v>4129007.4315000004</v>
      </c>
      <c r="G68" s="13" t="s">
        <v>183</v>
      </c>
      <c r="H68" s="13">
        <v>0</v>
      </c>
      <c r="I68" s="13">
        <v>0</v>
      </c>
      <c r="J68" s="13">
        <v>2843483.3</v>
      </c>
      <c r="K68" s="13" t="s">
        <v>187</v>
      </c>
      <c r="L68" s="13">
        <v>527016.69999999995</v>
      </c>
      <c r="M68" s="13">
        <v>84.36</v>
      </c>
      <c r="N68" s="18">
        <v>7.0000000000000007E-2</v>
      </c>
    </row>
    <row r="69" spans="1:14" x14ac:dyDescent="0.3">
      <c r="A69" s="13" t="s">
        <v>125</v>
      </c>
      <c r="B69" s="13" t="s">
        <v>16</v>
      </c>
      <c r="C69" s="14">
        <v>0</v>
      </c>
      <c r="D69" s="14">
        <f t="shared" si="4"/>
        <v>0</v>
      </c>
      <c r="E69" s="14">
        <f t="shared" si="4"/>
        <v>0</v>
      </c>
      <c r="F69" s="14">
        <f t="shared" si="4"/>
        <v>0</v>
      </c>
      <c r="G69" s="13" t="s">
        <v>183</v>
      </c>
      <c r="H69" s="13">
        <v>0</v>
      </c>
      <c r="I69" s="13">
        <v>0</v>
      </c>
      <c r="J69" s="13">
        <v>0</v>
      </c>
      <c r="K69" s="13" t="s">
        <v>187</v>
      </c>
      <c r="L69" s="13">
        <v>0</v>
      </c>
      <c r="M69" s="13">
        <v>0</v>
      </c>
      <c r="N69" s="18">
        <v>7.0000000000000007E-2</v>
      </c>
    </row>
    <row r="70" spans="1:14" x14ac:dyDescent="0.3">
      <c r="A70" s="13" t="s">
        <v>126</v>
      </c>
      <c r="B70" s="13" t="s">
        <v>18</v>
      </c>
      <c r="C70" s="14">
        <v>560000</v>
      </c>
      <c r="D70" s="14">
        <f t="shared" si="4"/>
        <v>599200</v>
      </c>
      <c r="E70" s="14">
        <f t="shared" si="4"/>
        <v>641144</v>
      </c>
      <c r="F70" s="14">
        <f t="shared" si="4"/>
        <v>686024.08000000007</v>
      </c>
      <c r="G70" s="13" t="s">
        <v>183</v>
      </c>
      <c r="H70" s="13">
        <v>0</v>
      </c>
      <c r="I70" s="13">
        <v>0</v>
      </c>
      <c r="J70" s="13">
        <v>682335.19</v>
      </c>
      <c r="K70" s="13" t="s">
        <v>187</v>
      </c>
      <c r="L70" s="13">
        <v>-122335.19</v>
      </c>
      <c r="M70" s="13">
        <v>121.84</v>
      </c>
      <c r="N70" s="18">
        <v>7.0000000000000007E-2</v>
      </c>
    </row>
    <row r="71" spans="1:14" x14ac:dyDescent="0.3">
      <c r="A71" s="13" t="s">
        <v>127</v>
      </c>
      <c r="B71" s="13" t="s">
        <v>20</v>
      </c>
      <c r="C71" s="14">
        <v>180000</v>
      </c>
      <c r="D71" s="14">
        <f t="shared" si="4"/>
        <v>192600</v>
      </c>
      <c r="E71" s="14">
        <f t="shared" si="4"/>
        <v>206082</v>
      </c>
      <c r="F71" s="14">
        <f t="shared" si="4"/>
        <v>220507.74000000002</v>
      </c>
      <c r="G71" s="13" t="s">
        <v>183</v>
      </c>
      <c r="H71" s="13">
        <v>0</v>
      </c>
      <c r="I71" s="13">
        <v>0</v>
      </c>
      <c r="J71" s="13">
        <v>177338.22</v>
      </c>
      <c r="K71" s="13" t="s">
        <v>187</v>
      </c>
      <c r="L71" s="13">
        <v>2661.78</v>
      </c>
      <c r="M71" s="13">
        <v>98.52</v>
      </c>
      <c r="N71" s="18">
        <v>7.0000000000000007E-2</v>
      </c>
    </row>
    <row r="72" spans="1:14" x14ac:dyDescent="0.3">
      <c r="A72" s="13" t="s">
        <v>128</v>
      </c>
      <c r="B72" s="13" t="s">
        <v>129</v>
      </c>
      <c r="C72" s="14">
        <v>58525</v>
      </c>
      <c r="D72" s="14">
        <f t="shared" si="4"/>
        <v>62621.75</v>
      </c>
      <c r="E72" s="14">
        <f t="shared" si="4"/>
        <v>67005.272500000006</v>
      </c>
      <c r="F72" s="14">
        <f t="shared" si="4"/>
        <v>71695.641575000016</v>
      </c>
      <c r="G72" s="13" t="s">
        <v>183</v>
      </c>
      <c r="H72" s="13">
        <v>0</v>
      </c>
      <c r="I72" s="13">
        <v>0</v>
      </c>
      <c r="J72" s="13">
        <v>29079.74</v>
      </c>
      <c r="K72" s="13" t="s">
        <v>187</v>
      </c>
      <c r="L72" s="13">
        <v>29445.26</v>
      </c>
      <c r="M72" s="13">
        <v>49.68</v>
      </c>
      <c r="N72" s="18">
        <v>7.0000000000000007E-2</v>
      </c>
    </row>
    <row r="73" spans="1:14" x14ac:dyDescent="0.3">
      <c r="A73" s="13" t="s">
        <v>130</v>
      </c>
      <c r="B73" s="13" t="s">
        <v>22</v>
      </c>
      <c r="C73" s="14">
        <v>70627</v>
      </c>
      <c r="D73" s="14">
        <f t="shared" si="4"/>
        <v>75570.89</v>
      </c>
      <c r="E73" s="14">
        <f t="shared" si="4"/>
        <v>80860.852299999999</v>
      </c>
      <c r="F73" s="14">
        <f t="shared" si="4"/>
        <v>86521.111961000002</v>
      </c>
      <c r="G73" s="13" t="s">
        <v>183</v>
      </c>
      <c r="H73" s="13">
        <v>0</v>
      </c>
      <c r="I73" s="13">
        <v>0</v>
      </c>
      <c r="J73" s="13">
        <v>30000</v>
      </c>
      <c r="K73" s="13" t="s">
        <v>187</v>
      </c>
      <c r="L73" s="13">
        <v>40627</v>
      </c>
      <c r="M73" s="13">
        <v>42.47</v>
      </c>
      <c r="N73" s="18">
        <v>7.0000000000000007E-2</v>
      </c>
    </row>
    <row r="74" spans="1:14" x14ac:dyDescent="0.3">
      <c r="A74" s="13" t="s">
        <v>131</v>
      </c>
      <c r="B74" s="13" t="s">
        <v>24</v>
      </c>
      <c r="C74" s="14">
        <v>4625</v>
      </c>
      <c r="D74" s="14">
        <f t="shared" si="4"/>
        <v>4948.75</v>
      </c>
      <c r="E74" s="14">
        <f t="shared" si="4"/>
        <v>5295.1625000000004</v>
      </c>
      <c r="F74" s="14">
        <f t="shared" si="4"/>
        <v>5665.823875000001</v>
      </c>
      <c r="G74" s="13" t="s">
        <v>183</v>
      </c>
      <c r="H74" s="13">
        <v>0</v>
      </c>
      <c r="I74" s="13">
        <v>0</v>
      </c>
      <c r="J74" s="13">
        <v>2983.75</v>
      </c>
      <c r="K74" s="13" t="s">
        <v>187</v>
      </c>
      <c r="L74" s="13">
        <v>1641.25</v>
      </c>
      <c r="M74" s="13">
        <v>64.510000000000005</v>
      </c>
      <c r="N74" s="18">
        <v>7.0000000000000007E-2</v>
      </c>
    </row>
    <row r="75" spans="1:14" x14ac:dyDescent="0.3">
      <c r="A75" s="13" t="s">
        <v>132</v>
      </c>
      <c r="B75" s="13" t="s">
        <v>27</v>
      </c>
      <c r="C75" s="14">
        <v>162779</v>
      </c>
      <c r="D75" s="14">
        <f t="shared" si="4"/>
        <v>174173.53</v>
      </c>
      <c r="E75" s="14">
        <f t="shared" si="4"/>
        <v>186365.6771</v>
      </c>
      <c r="F75" s="14">
        <f t="shared" si="4"/>
        <v>199411.27449700001</v>
      </c>
      <c r="G75" s="13" t="s">
        <v>183</v>
      </c>
      <c r="H75" s="13">
        <v>0</v>
      </c>
      <c r="I75" s="13">
        <v>0</v>
      </c>
      <c r="J75" s="13">
        <v>105227.53</v>
      </c>
      <c r="K75" s="13" t="s">
        <v>187</v>
      </c>
      <c r="L75" s="13">
        <v>57551.47</v>
      </c>
      <c r="M75" s="13">
        <v>64.64</v>
      </c>
      <c r="N75" s="18">
        <v>7.0000000000000007E-2</v>
      </c>
    </row>
    <row r="76" spans="1:14" x14ac:dyDescent="0.3">
      <c r="A76" s="13" t="s">
        <v>133</v>
      </c>
      <c r="B76" s="13" t="s">
        <v>29</v>
      </c>
      <c r="C76" s="14">
        <v>1117156</v>
      </c>
      <c r="D76" s="14">
        <f t="shared" si="4"/>
        <v>1195356.9200000002</v>
      </c>
      <c r="E76" s="14">
        <f t="shared" si="4"/>
        <v>1279031.9044000003</v>
      </c>
      <c r="F76" s="14">
        <f t="shared" si="4"/>
        <v>1368564.1377080004</v>
      </c>
      <c r="G76" s="13" t="s">
        <v>183</v>
      </c>
      <c r="H76" s="13">
        <v>0</v>
      </c>
      <c r="I76" s="13">
        <v>0</v>
      </c>
      <c r="J76" s="13">
        <v>746839.23</v>
      </c>
      <c r="K76" s="13" t="s">
        <v>187</v>
      </c>
      <c r="L76" s="13">
        <v>370316.77</v>
      </c>
      <c r="M76" s="13">
        <v>66.849999999999994</v>
      </c>
      <c r="N76" s="18">
        <v>7.0000000000000007E-2</v>
      </c>
    </row>
    <row r="77" spans="1:14" x14ac:dyDescent="0.3">
      <c r="A77" s="13" t="s">
        <v>134</v>
      </c>
      <c r="B77" s="13" t="s">
        <v>31</v>
      </c>
      <c r="C77" s="14">
        <v>3184839</v>
      </c>
      <c r="D77" s="14">
        <f t="shared" si="4"/>
        <v>3407777.73</v>
      </c>
      <c r="E77" s="14">
        <f t="shared" si="4"/>
        <v>3646322.1711000004</v>
      </c>
      <c r="F77" s="14">
        <f t="shared" si="4"/>
        <v>3901564.7230770006</v>
      </c>
      <c r="G77" s="13" t="s">
        <v>183</v>
      </c>
      <c r="H77" s="13">
        <v>0</v>
      </c>
      <c r="I77" s="13">
        <v>0</v>
      </c>
      <c r="J77" s="13">
        <v>2077325.14</v>
      </c>
      <c r="K77" s="13" t="s">
        <v>187</v>
      </c>
      <c r="L77" s="13">
        <v>1107513.8600000001</v>
      </c>
      <c r="M77" s="13">
        <v>65.22</v>
      </c>
      <c r="N77" s="18">
        <v>7.0000000000000007E-2</v>
      </c>
    </row>
    <row r="78" spans="1:14" x14ac:dyDescent="0.3">
      <c r="A78" s="13" t="s">
        <v>135</v>
      </c>
      <c r="B78" s="13" t="s">
        <v>33</v>
      </c>
      <c r="C78" s="14">
        <v>76695</v>
      </c>
      <c r="D78" s="14">
        <f t="shared" si="4"/>
        <v>82063.650000000009</v>
      </c>
      <c r="E78" s="14">
        <f t="shared" si="4"/>
        <v>87808.10550000002</v>
      </c>
      <c r="F78" s="14">
        <f t="shared" si="4"/>
        <v>93954.672885000022</v>
      </c>
      <c r="G78" s="13" t="s">
        <v>183</v>
      </c>
      <c r="H78" s="13">
        <v>0</v>
      </c>
      <c r="I78" s="13">
        <v>0</v>
      </c>
      <c r="J78" s="13">
        <v>50713.52</v>
      </c>
      <c r="K78" s="13" t="s">
        <v>187</v>
      </c>
      <c r="L78" s="13">
        <v>25981.48</v>
      </c>
      <c r="M78" s="13">
        <v>66.12</v>
      </c>
      <c r="N78" s="18">
        <v>7.0000000000000007E-2</v>
      </c>
    </row>
    <row r="79" spans="1:14" x14ac:dyDescent="0.3">
      <c r="A79" s="13" t="s">
        <v>136</v>
      </c>
      <c r="B79" s="13" t="s">
        <v>37</v>
      </c>
      <c r="C79" s="14">
        <v>118000</v>
      </c>
      <c r="D79" s="14">
        <f t="shared" si="4"/>
        <v>126260.00000000001</v>
      </c>
      <c r="E79" s="14">
        <f t="shared" si="4"/>
        <v>135098.20000000001</v>
      </c>
      <c r="F79" s="14">
        <f t="shared" si="4"/>
        <v>144555.07400000002</v>
      </c>
      <c r="G79" s="13" t="s">
        <v>183</v>
      </c>
      <c r="H79" s="13">
        <v>0</v>
      </c>
      <c r="I79" s="13">
        <v>0</v>
      </c>
      <c r="J79" s="13">
        <v>193675.07</v>
      </c>
      <c r="K79" s="13" t="s">
        <v>187</v>
      </c>
      <c r="L79" s="13">
        <v>-75675.070000000007</v>
      </c>
      <c r="M79" s="13">
        <v>164.13</v>
      </c>
      <c r="N79" s="18">
        <v>7.0000000000000007E-2</v>
      </c>
    </row>
    <row r="80" spans="1:14" x14ac:dyDescent="0.3">
      <c r="A80" s="13" t="s">
        <v>137</v>
      </c>
      <c r="B80" s="13" t="s">
        <v>84</v>
      </c>
      <c r="C80" s="14">
        <v>140000</v>
      </c>
      <c r="D80" s="14">
        <v>100000</v>
      </c>
      <c r="E80" s="14">
        <f t="shared" ref="E80:F99" si="5">D80*1.054</f>
        <v>105400</v>
      </c>
      <c r="F80" s="14">
        <f t="shared" si="5"/>
        <v>111091.6</v>
      </c>
      <c r="G80" s="13" t="s">
        <v>183</v>
      </c>
      <c r="H80" s="13">
        <v>0</v>
      </c>
      <c r="I80" s="13">
        <v>0</v>
      </c>
      <c r="J80" s="13">
        <v>0</v>
      </c>
      <c r="K80" s="13" t="s">
        <v>187</v>
      </c>
      <c r="L80" s="13">
        <v>140000</v>
      </c>
      <c r="M80" s="13">
        <v>0</v>
      </c>
      <c r="N80" s="19">
        <v>5.6000000000000001E-2</v>
      </c>
    </row>
    <row r="81" spans="1:14" x14ac:dyDescent="0.3">
      <c r="A81" s="13" t="s">
        <v>138</v>
      </c>
      <c r="B81" s="13" t="s">
        <v>84</v>
      </c>
      <c r="C81" s="14">
        <v>90000</v>
      </c>
      <c r="D81" s="14">
        <v>70000</v>
      </c>
      <c r="E81" s="14">
        <f t="shared" si="5"/>
        <v>73780</v>
      </c>
      <c r="F81" s="14">
        <f t="shared" si="5"/>
        <v>77764.12000000001</v>
      </c>
      <c r="G81" s="13" t="s">
        <v>183</v>
      </c>
      <c r="H81" s="13">
        <v>0</v>
      </c>
      <c r="I81" s="13">
        <v>0</v>
      </c>
      <c r="J81" s="13">
        <v>24800</v>
      </c>
      <c r="K81" s="13" t="s">
        <v>187</v>
      </c>
      <c r="L81" s="13">
        <v>65200</v>
      </c>
      <c r="M81" s="13">
        <v>27.55</v>
      </c>
      <c r="N81" s="19">
        <v>5.6000000000000001E-2</v>
      </c>
    </row>
    <row r="82" spans="1:14" x14ac:dyDescent="0.3">
      <c r="A82" s="13" t="s">
        <v>139</v>
      </c>
      <c r="B82" s="13" t="s">
        <v>84</v>
      </c>
      <c r="C82" s="14">
        <v>200000</v>
      </c>
      <c r="D82" s="14">
        <v>150000</v>
      </c>
      <c r="E82" s="14">
        <f t="shared" si="5"/>
        <v>158100</v>
      </c>
      <c r="F82" s="14">
        <f t="shared" si="5"/>
        <v>166637.4</v>
      </c>
      <c r="G82" s="13" t="s">
        <v>183</v>
      </c>
      <c r="H82" s="13">
        <v>0</v>
      </c>
      <c r="I82" s="13">
        <v>0</v>
      </c>
      <c r="J82" s="13">
        <v>61050</v>
      </c>
      <c r="K82" s="13" t="s">
        <v>187</v>
      </c>
      <c r="L82" s="13">
        <v>138950</v>
      </c>
      <c r="M82" s="13">
        <v>30.52</v>
      </c>
      <c r="N82" s="19">
        <v>5.6000000000000001E-2</v>
      </c>
    </row>
    <row r="83" spans="1:14" x14ac:dyDescent="0.3">
      <c r="A83" s="13" t="s">
        <v>140</v>
      </c>
      <c r="B83" s="13" t="s">
        <v>84</v>
      </c>
      <c r="C83" s="14">
        <v>20000</v>
      </c>
      <c r="D83" s="14">
        <v>20000</v>
      </c>
      <c r="E83" s="14">
        <f t="shared" si="5"/>
        <v>21080</v>
      </c>
      <c r="F83" s="14">
        <f t="shared" si="5"/>
        <v>22218.32</v>
      </c>
      <c r="G83" s="13" t="s">
        <v>183</v>
      </c>
      <c r="H83" s="13">
        <v>0</v>
      </c>
      <c r="I83" s="13">
        <v>0</v>
      </c>
      <c r="J83" s="13">
        <v>13981.17</v>
      </c>
      <c r="K83" s="13" t="s">
        <v>187</v>
      </c>
      <c r="L83" s="13">
        <v>6018.83</v>
      </c>
      <c r="M83" s="13">
        <v>69.900000000000006</v>
      </c>
      <c r="N83" s="19">
        <v>5.6000000000000001E-2</v>
      </c>
    </row>
    <row r="84" spans="1:14" x14ac:dyDescent="0.3">
      <c r="A84" s="13" t="s">
        <v>141</v>
      </c>
      <c r="B84" s="13" t="s">
        <v>84</v>
      </c>
      <c r="C84" s="14">
        <v>215000</v>
      </c>
      <c r="D84" s="14">
        <v>150000</v>
      </c>
      <c r="E84" s="14">
        <f t="shared" si="5"/>
        <v>158100</v>
      </c>
      <c r="F84" s="14">
        <f t="shared" si="5"/>
        <v>166637.4</v>
      </c>
      <c r="G84" s="13" t="s">
        <v>183</v>
      </c>
      <c r="H84" s="13">
        <v>0</v>
      </c>
      <c r="I84" s="13">
        <v>0</v>
      </c>
      <c r="J84" s="13">
        <v>0</v>
      </c>
      <c r="K84" s="13" t="s">
        <v>187</v>
      </c>
      <c r="L84" s="13">
        <v>215000</v>
      </c>
      <c r="M84" s="13">
        <v>0</v>
      </c>
      <c r="N84" s="19">
        <v>5.6000000000000001E-2</v>
      </c>
    </row>
    <row r="85" spans="1:14" x14ac:dyDescent="0.3">
      <c r="A85" s="13" t="s">
        <v>142</v>
      </c>
      <c r="B85" s="13" t="s">
        <v>84</v>
      </c>
      <c r="C85" s="14">
        <v>975000</v>
      </c>
      <c r="D85" s="14">
        <v>400000</v>
      </c>
      <c r="E85" s="14">
        <f t="shared" si="5"/>
        <v>421600</v>
      </c>
      <c r="F85" s="14">
        <f t="shared" si="5"/>
        <v>444366.4</v>
      </c>
      <c r="G85" s="13" t="s">
        <v>183</v>
      </c>
      <c r="H85" s="13">
        <v>0</v>
      </c>
      <c r="I85" s="13">
        <v>30888</v>
      </c>
      <c r="J85" s="13">
        <v>70550</v>
      </c>
      <c r="K85" s="13" t="s">
        <v>187</v>
      </c>
      <c r="L85" s="13">
        <v>904450</v>
      </c>
      <c r="M85" s="13">
        <v>7.23</v>
      </c>
      <c r="N85" s="19">
        <v>5.6000000000000001E-2</v>
      </c>
    </row>
    <row r="86" spans="1:14" x14ac:dyDescent="0.3">
      <c r="A86" s="13" t="s">
        <v>143</v>
      </c>
      <c r="B86" s="13" t="s">
        <v>84</v>
      </c>
      <c r="C86" s="14">
        <v>20000</v>
      </c>
      <c r="D86" s="14">
        <v>20000</v>
      </c>
      <c r="E86" s="14">
        <f t="shared" si="5"/>
        <v>21080</v>
      </c>
      <c r="F86" s="14">
        <f t="shared" si="5"/>
        <v>22218.32</v>
      </c>
      <c r="G86" s="13" t="s">
        <v>183</v>
      </c>
      <c r="H86" s="13">
        <v>0</v>
      </c>
      <c r="I86" s="13">
        <v>0</v>
      </c>
      <c r="J86" s="13">
        <v>17000</v>
      </c>
      <c r="K86" s="13" t="s">
        <v>187</v>
      </c>
      <c r="L86" s="13">
        <v>3000</v>
      </c>
      <c r="M86" s="13">
        <v>85</v>
      </c>
      <c r="N86" s="19">
        <v>5.6000000000000001E-2</v>
      </c>
    </row>
    <row r="87" spans="1:14" x14ac:dyDescent="0.3">
      <c r="A87" s="13" t="s">
        <v>144</v>
      </c>
      <c r="B87" s="13" t="s">
        <v>84</v>
      </c>
      <c r="C87" s="14">
        <v>200000</v>
      </c>
      <c r="D87" s="14">
        <v>100000</v>
      </c>
      <c r="E87" s="14">
        <f t="shared" si="5"/>
        <v>105400</v>
      </c>
      <c r="F87" s="14">
        <f t="shared" si="5"/>
        <v>111091.6</v>
      </c>
      <c r="G87" s="13" t="s">
        <v>183</v>
      </c>
      <c r="H87" s="13">
        <v>0</v>
      </c>
      <c r="I87" s="13">
        <v>1753</v>
      </c>
      <c r="J87" s="13">
        <v>26850</v>
      </c>
      <c r="K87" s="13" t="s">
        <v>187</v>
      </c>
      <c r="L87" s="13">
        <v>173150</v>
      </c>
      <c r="M87" s="13">
        <v>13.42</v>
      </c>
      <c r="N87" s="19">
        <v>5.6000000000000001E-2</v>
      </c>
    </row>
    <row r="88" spans="1:14" x14ac:dyDescent="0.3">
      <c r="A88" s="13" t="s">
        <v>145</v>
      </c>
      <c r="B88" s="13" t="s">
        <v>84</v>
      </c>
      <c r="C88" s="14">
        <v>800000</v>
      </c>
      <c r="D88" s="14">
        <v>500000</v>
      </c>
      <c r="E88" s="14">
        <f t="shared" si="5"/>
        <v>527000</v>
      </c>
      <c r="F88" s="14">
        <f t="shared" si="5"/>
        <v>555458</v>
      </c>
      <c r="G88" s="13" t="s">
        <v>183</v>
      </c>
      <c r="H88" s="13">
        <v>0</v>
      </c>
      <c r="I88" s="13">
        <v>44306.74</v>
      </c>
      <c r="J88" s="13">
        <v>326375</v>
      </c>
      <c r="K88" s="13" t="s">
        <v>187</v>
      </c>
      <c r="L88" s="13">
        <v>473625</v>
      </c>
      <c r="M88" s="13">
        <v>40.79</v>
      </c>
      <c r="N88" s="19">
        <v>5.6000000000000001E-2</v>
      </c>
    </row>
    <row r="89" spans="1:14" x14ac:dyDescent="0.3">
      <c r="A89" s="13" t="s">
        <v>146</v>
      </c>
      <c r="B89" s="13" t="s">
        <v>147</v>
      </c>
      <c r="C89" s="14">
        <v>50000</v>
      </c>
      <c r="D89" s="14">
        <v>30000</v>
      </c>
      <c r="E89" s="14">
        <f t="shared" si="5"/>
        <v>31620</v>
      </c>
      <c r="F89" s="14">
        <f t="shared" si="5"/>
        <v>33327.480000000003</v>
      </c>
      <c r="G89" s="13" t="s">
        <v>183</v>
      </c>
      <c r="H89" s="13">
        <v>0</v>
      </c>
      <c r="I89" s="13">
        <v>0</v>
      </c>
      <c r="J89" s="13">
        <v>0</v>
      </c>
      <c r="K89" s="13" t="s">
        <v>187</v>
      </c>
      <c r="L89" s="13">
        <v>50000</v>
      </c>
      <c r="M89" s="13">
        <v>0</v>
      </c>
      <c r="N89" s="19">
        <v>5.6000000000000001E-2</v>
      </c>
    </row>
    <row r="90" spans="1:14" x14ac:dyDescent="0.3">
      <c r="A90" s="13" t="s">
        <v>148</v>
      </c>
      <c r="B90" s="13" t="s">
        <v>149</v>
      </c>
      <c r="C90" s="14">
        <v>3000</v>
      </c>
      <c r="D90" s="14">
        <f>C90*1.052</f>
        <v>3156</v>
      </c>
      <c r="E90" s="14">
        <f t="shared" si="5"/>
        <v>3326.424</v>
      </c>
      <c r="F90" s="14">
        <f t="shared" si="5"/>
        <v>3506.0508960000002</v>
      </c>
      <c r="G90" s="13" t="s">
        <v>183</v>
      </c>
      <c r="H90" s="13">
        <v>0</v>
      </c>
      <c r="I90" s="13">
        <v>0</v>
      </c>
      <c r="J90" s="13">
        <v>0</v>
      </c>
      <c r="K90" s="13" t="s">
        <v>187</v>
      </c>
      <c r="L90" s="13">
        <v>3000</v>
      </c>
      <c r="M90" s="13">
        <v>0</v>
      </c>
      <c r="N90" s="19">
        <v>5.6000000000000001E-2</v>
      </c>
    </row>
    <row r="91" spans="1:14" x14ac:dyDescent="0.3">
      <c r="A91" s="13" t="s">
        <v>150</v>
      </c>
      <c r="B91" s="13" t="s">
        <v>91</v>
      </c>
      <c r="C91" s="14">
        <v>462000</v>
      </c>
      <c r="D91" s="14">
        <v>250000</v>
      </c>
      <c r="E91" s="14">
        <f t="shared" si="5"/>
        <v>263500</v>
      </c>
      <c r="F91" s="14">
        <f t="shared" si="5"/>
        <v>277729</v>
      </c>
      <c r="G91" s="13" t="s">
        <v>183</v>
      </c>
      <c r="H91" s="13">
        <v>0</v>
      </c>
      <c r="I91" s="13">
        <v>0</v>
      </c>
      <c r="J91" s="13">
        <v>245350</v>
      </c>
      <c r="K91" s="13" t="s">
        <v>187</v>
      </c>
      <c r="L91" s="13">
        <v>216650</v>
      </c>
      <c r="M91" s="13">
        <v>53.1</v>
      </c>
      <c r="N91" s="19">
        <v>5.6000000000000001E-2</v>
      </c>
    </row>
    <row r="92" spans="1:14" x14ac:dyDescent="0.3">
      <c r="A92" s="13" t="s">
        <v>151</v>
      </c>
      <c r="B92" s="13" t="s">
        <v>152</v>
      </c>
      <c r="C92" s="14">
        <v>160000</v>
      </c>
      <c r="D92" s="14">
        <v>160000</v>
      </c>
      <c r="E92" s="14">
        <f t="shared" si="5"/>
        <v>168640</v>
      </c>
      <c r="F92" s="14">
        <f t="shared" si="5"/>
        <v>177746.56</v>
      </c>
      <c r="G92" s="13" t="s">
        <v>183</v>
      </c>
      <c r="H92" s="13">
        <v>0</v>
      </c>
      <c r="I92" s="13">
        <v>0</v>
      </c>
      <c r="J92" s="13">
        <v>9252.17</v>
      </c>
      <c r="K92" s="13" t="s">
        <v>187</v>
      </c>
      <c r="L92" s="13">
        <v>150747.82999999999</v>
      </c>
      <c r="M92" s="13">
        <v>5.78</v>
      </c>
      <c r="N92" s="19">
        <v>5.6000000000000001E-2</v>
      </c>
    </row>
    <row r="93" spans="1:14" x14ac:dyDescent="0.3">
      <c r="A93" s="13" t="s">
        <v>153</v>
      </c>
      <c r="B93" s="13" t="s">
        <v>154</v>
      </c>
      <c r="C93" s="14">
        <v>650000</v>
      </c>
      <c r="D93" s="14">
        <v>650000</v>
      </c>
      <c r="E93" s="14">
        <f t="shared" si="5"/>
        <v>685100</v>
      </c>
      <c r="F93" s="14">
        <f t="shared" si="5"/>
        <v>722095.4</v>
      </c>
      <c r="G93" s="13" t="s">
        <v>183</v>
      </c>
      <c r="H93" s="13">
        <v>0</v>
      </c>
      <c r="I93" s="13">
        <v>0</v>
      </c>
      <c r="J93" s="13">
        <v>400800</v>
      </c>
      <c r="K93" s="13" t="s">
        <v>187</v>
      </c>
      <c r="L93" s="13">
        <v>249200</v>
      </c>
      <c r="M93" s="13">
        <v>61.66</v>
      </c>
      <c r="N93" s="19">
        <v>5.6000000000000001E-2</v>
      </c>
    </row>
    <row r="94" spans="1:14" x14ac:dyDescent="0.3">
      <c r="A94" s="13" t="s">
        <v>155</v>
      </c>
      <c r="B94" s="13" t="s">
        <v>156</v>
      </c>
      <c r="C94" s="14">
        <v>225000</v>
      </c>
      <c r="D94" s="14">
        <v>225000</v>
      </c>
      <c r="E94" s="14">
        <f t="shared" si="5"/>
        <v>237150</v>
      </c>
      <c r="F94" s="14">
        <f t="shared" si="5"/>
        <v>249956.1</v>
      </c>
      <c r="G94" s="13" t="s">
        <v>183</v>
      </c>
      <c r="H94" s="13">
        <v>0</v>
      </c>
      <c r="I94" s="13">
        <v>0</v>
      </c>
      <c r="J94" s="13">
        <v>73517</v>
      </c>
      <c r="K94" s="13" t="s">
        <v>187</v>
      </c>
      <c r="L94" s="13">
        <v>151483</v>
      </c>
      <c r="M94" s="13">
        <v>32.67</v>
      </c>
      <c r="N94" s="19">
        <v>5.6000000000000001E-2</v>
      </c>
    </row>
    <row r="95" spans="1:14" x14ac:dyDescent="0.3">
      <c r="A95" s="13" t="s">
        <v>157</v>
      </c>
      <c r="B95" s="13" t="s">
        <v>158</v>
      </c>
      <c r="C95" s="14">
        <v>42000</v>
      </c>
      <c r="D95" s="14">
        <f>C95*1.052</f>
        <v>44184</v>
      </c>
      <c r="E95" s="14">
        <f t="shared" si="5"/>
        <v>46569.936000000002</v>
      </c>
      <c r="F95" s="14">
        <f t="shared" si="5"/>
        <v>49084.712544000002</v>
      </c>
      <c r="G95" s="13" t="s">
        <v>183</v>
      </c>
      <c r="H95" s="13">
        <v>0</v>
      </c>
      <c r="I95" s="13">
        <v>17636</v>
      </c>
      <c r="J95" s="13">
        <v>15900.78</v>
      </c>
      <c r="K95" s="13" t="s">
        <v>187</v>
      </c>
      <c r="L95" s="13">
        <v>26099.22</v>
      </c>
      <c r="M95" s="13">
        <v>37.85</v>
      </c>
      <c r="N95" s="19">
        <v>5.6000000000000001E-2</v>
      </c>
    </row>
    <row r="96" spans="1:14" x14ac:dyDescent="0.3">
      <c r="A96" s="13" t="s">
        <v>159</v>
      </c>
      <c r="B96" s="13" t="s">
        <v>99</v>
      </c>
      <c r="C96" s="14">
        <v>200000</v>
      </c>
      <c r="D96" s="14">
        <v>150000</v>
      </c>
      <c r="E96" s="14">
        <f t="shared" si="5"/>
        <v>158100</v>
      </c>
      <c r="F96" s="14">
        <f t="shared" si="5"/>
        <v>166637.4</v>
      </c>
      <c r="G96" s="13" t="s">
        <v>183</v>
      </c>
      <c r="H96" s="13">
        <v>0</v>
      </c>
      <c r="I96" s="13">
        <v>0</v>
      </c>
      <c r="J96" s="13">
        <v>149900</v>
      </c>
      <c r="K96" s="13" t="s">
        <v>187</v>
      </c>
      <c r="L96" s="13">
        <v>50100</v>
      </c>
      <c r="M96" s="13">
        <v>74.95</v>
      </c>
      <c r="N96" s="19">
        <v>5.6000000000000001E-2</v>
      </c>
    </row>
    <row r="97" spans="1:14" x14ac:dyDescent="0.3">
      <c r="A97" s="13" t="s">
        <v>160</v>
      </c>
      <c r="B97" s="13" t="s">
        <v>99</v>
      </c>
      <c r="C97" s="14">
        <v>10000</v>
      </c>
      <c r="D97" s="14">
        <f>C97*1.052</f>
        <v>10520</v>
      </c>
      <c r="E97" s="14">
        <f t="shared" si="5"/>
        <v>11088.08</v>
      </c>
      <c r="F97" s="14">
        <f t="shared" si="5"/>
        <v>11686.83632</v>
      </c>
      <c r="G97" s="13" t="s">
        <v>183</v>
      </c>
      <c r="H97" s="13">
        <v>0</v>
      </c>
      <c r="I97" s="13">
        <v>0</v>
      </c>
      <c r="J97" s="13">
        <v>0</v>
      </c>
      <c r="K97" s="13" t="s">
        <v>187</v>
      </c>
      <c r="L97" s="13">
        <v>10000</v>
      </c>
      <c r="M97" s="13">
        <v>0</v>
      </c>
      <c r="N97" s="19">
        <v>5.6000000000000001E-2</v>
      </c>
    </row>
    <row r="98" spans="1:14" x14ac:dyDescent="0.3">
      <c r="A98" s="13" t="s">
        <v>161</v>
      </c>
      <c r="B98" s="13" t="s">
        <v>99</v>
      </c>
      <c r="C98" s="14">
        <v>573200</v>
      </c>
      <c r="D98" s="14">
        <v>400000</v>
      </c>
      <c r="E98" s="14">
        <f t="shared" si="5"/>
        <v>421600</v>
      </c>
      <c r="F98" s="14">
        <f t="shared" si="5"/>
        <v>444366.4</v>
      </c>
      <c r="G98" s="13" t="s">
        <v>183</v>
      </c>
      <c r="H98" s="13">
        <v>0</v>
      </c>
      <c r="I98" s="13">
        <v>0</v>
      </c>
      <c r="J98" s="13">
        <v>252445</v>
      </c>
      <c r="K98" s="13" t="s">
        <v>187</v>
      </c>
      <c r="L98" s="13">
        <v>320755</v>
      </c>
      <c r="M98" s="13">
        <v>44.04</v>
      </c>
      <c r="N98" s="19">
        <v>5.6000000000000001E-2</v>
      </c>
    </row>
    <row r="99" spans="1:14" x14ac:dyDescent="0.3">
      <c r="A99" s="13" t="s">
        <v>162</v>
      </c>
      <c r="B99" s="13" t="s">
        <v>101</v>
      </c>
      <c r="C99" s="14">
        <v>221341</v>
      </c>
      <c r="D99" s="14">
        <f>C99*1.0562</f>
        <v>233780.36420000001</v>
      </c>
      <c r="E99" s="14">
        <f t="shared" si="5"/>
        <v>246404.50386680002</v>
      </c>
      <c r="F99" s="14">
        <f t="shared" si="5"/>
        <v>259710.34707560722</v>
      </c>
      <c r="G99" s="13" t="s">
        <v>183</v>
      </c>
      <c r="H99" s="13">
        <v>0</v>
      </c>
      <c r="I99" s="13">
        <v>0</v>
      </c>
      <c r="J99" s="13">
        <v>149985.91</v>
      </c>
      <c r="K99" s="13" t="s">
        <v>187</v>
      </c>
      <c r="L99" s="13">
        <v>71355.09</v>
      </c>
      <c r="M99" s="13">
        <v>67.760000000000005</v>
      </c>
      <c r="N99" s="19">
        <v>5.6000000000000001E-2</v>
      </c>
    </row>
    <row r="100" spans="1:14" x14ac:dyDescent="0.3">
      <c r="A100" s="13" t="s">
        <v>163</v>
      </c>
      <c r="B100" s="13" t="s">
        <v>164</v>
      </c>
      <c r="C100" s="14">
        <v>248000</v>
      </c>
      <c r="D100" s="14">
        <v>248000</v>
      </c>
      <c r="E100" s="14">
        <f t="shared" ref="E100:F112" si="6">D100*1.054</f>
        <v>261392</v>
      </c>
      <c r="F100" s="14">
        <f t="shared" si="6"/>
        <v>275507.16800000001</v>
      </c>
      <c r="G100" s="13" t="s">
        <v>183</v>
      </c>
      <c r="H100" s="13">
        <v>0</v>
      </c>
      <c r="I100" s="13">
        <v>4408.87</v>
      </c>
      <c r="J100" s="13">
        <v>188364.5</v>
      </c>
      <c r="K100" s="13" t="s">
        <v>187</v>
      </c>
      <c r="L100" s="13">
        <v>59635.5</v>
      </c>
      <c r="M100" s="13">
        <v>75.95</v>
      </c>
      <c r="N100" s="19">
        <v>5.6000000000000001E-2</v>
      </c>
    </row>
    <row r="101" spans="1:14" x14ac:dyDescent="0.3">
      <c r="A101" s="13" t="s">
        <v>165</v>
      </c>
      <c r="B101" s="13" t="s">
        <v>164</v>
      </c>
      <c r="C101" s="14">
        <v>480000</v>
      </c>
      <c r="D101" s="14">
        <v>480000</v>
      </c>
      <c r="E101" s="14">
        <f t="shared" si="6"/>
        <v>505920</v>
      </c>
      <c r="F101" s="14">
        <f t="shared" si="6"/>
        <v>533239.68000000005</v>
      </c>
      <c r="G101" s="13" t="s">
        <v>183</v>
      </c>
      <c r="H101" s="13">
        <v>0</v>
      </c>
      <c r="I101" s="13">
        <v>23203.05</v>
      </c>
      <c r="J101" s="13">
        <v>173506.13</v>
      </c>
      <c r="K101" s="13" t="s">
        <v>187</v>
      </c>
      <c r="L101" s="13">
        <v>306493.87</v>
      </c>
      <c r="M101" s="13">
        <v>36.14</v>
      </c>
      <c r="N101" s="19">
        <v>5.6000000000000001E-2</v>
      </c>
    </row>
    <row r="102" spans="1:14" x14ac:dyDescent="0.3">
      <c r="A102" s="13" t="s">
        <v>166</v>
      </c>
      <c r="B102" s="13" t="s">
        <v>167</v>
      </c>
      <c r="C102" s="14">
        <v>30000</v>
      </c>
      <c r="D102" s="14">
        <f>C102*1.052</f>
        <v>31560</v>
      </c>
      <c r="E102" s="14">
        <f t="shared" si="6"/>
        <v>33264.239999999998</v>
      </c>
      <c r="F102" s="14">
        <f t="shared" si="6"/>
        <v>35060.508959999999</v>
      </c>
      <c r="G102" s="13" t="s">
        <v>183</v>
      </c>
      <c r="H102" s="13">
        <v>0</v>
      </c>
      <c r="I102" s="13">
        <v>0</v>
      </c>
      <c r="J102" s="13">
        <v>0</v>
      </c>
      <c r="K102" s="13" t="s">
        <v>187</v>
      </c>
      <c r="L102" s="13">
        <v>30000</v>
      </c>
      <c r="M102" s="13">
        <v>0</v>
      </c>
      <c r="N102" s="19">
        <v>5.6000000000000001E-2</v>
      </c>
    </row>
    <row r="103" spans="1:14" x14ac:dyDescent="0.3">
      <c r="A103" s="13" t="s">
        <v>168</v>
      </c>
      <c r="B103" s="13" t="s">
        <v>169</v>
      </c>
      <c r="C103" s="14">
        <v>10000</v>
      </c>
      <c r="D103" s="14">
        <v>10000</v>
      </c>
      <c r="E103" s="14">
        <f t="shared" si="6"/>
        <v>10540</v>
      </c>
      <c r="F103" s="14">
        <f t="shared" si="6"/>
        <v>11109.16</v>
      </c>
      <c r="G103" s="13" t="s">
        <v>183</v>
      </c>
      <c r="H103" s="13">
        <v>0</v>
      </c>
      <c r="I103" s="13">
        <v>0</v>
      </c>
      <c r="J103" s="13">
        <v>0</v>
      </c>
      <c r="K103" s="13" t="s">
        <v>187</v>
      </c>
      <c r="L103" s="13">
        <v>10000</v>
      </c>
      <c r="M103" s="13">
        <v>0</v>
      </c>
      <c r="N103" s="19">
        <v>5.6000000000000001E-2</v>
      </c>
    </row>
    <row r="104" spans="1:14" x14ac:dyDescent="0.3">
      <c r="A104" s="13" t="s">
        <v>170</v>
      </c>
      <c r="B104" s="13" t="s">
        <v>171</v>
      </c>
      <c r="C104" s="14">
        <v>10000</v>
      </c>
      <c r="D104" s="14">
        <v>10000</v>
      </c>
      <c r="E104" s="14">
        <f t="shared" si="6"/>
        <v>10540</v>
      </c>
      <c r="F104" s="14">
        <f t="shared" si="6"/>
        <v>11109.16</v>
      </c>
      <c r="G104" s="13" t="s">
        <v>183</v>
      </c>
      <c r="H104" s="13">
        <v>0</v>
      </c>
      <c r="I104" s="13">
        <v>0</v>
      </c>
      <c r="J104" s="13">
        <v>0</v>
      </c>
      <c r="K104" s="13" t="s">
        <v>187</v>
      </c>
      <c r="L104" s="13">
        <v>10000</v>
      </c>
      <c r="M104" s="13">
        <v>0</v>
      </c>
      <c r="N104" s="19">
        <v>5.6000000000000001E-2</v>
      </c>
    </row>
    <row r="105" spans="1:14" x14ac:dyDescent="0.3">
      <c r="A105" s="13" t="s">
        <v>172</v>
      </c>
      <c r="B105" s="13" t="s">
        <v>171</v>
      </c>
      <c r="C105" s="14">
        <v>30000</v>
      </c>
      <c r="D105" s="14">
        <v>30000</v>
      </c>
      <c r="E105" s="14">
        <f t="shared" si="6"/>
        <v>31620</v>
      </c>
      <c r="F105" s="14">
        <f t="shared" si="6"/>
        <v>33327.480000000003</v>
      </c>
      <c r="G105" s="13" t="s">
        <v>183</v>
      </c>
      <c r="H105" s="13">
        <v>0</v>
      </c>
      <c r="I105" s="13">
        <v>0</v>
      </c>
      <c r="J105" s="13">
        <v>0</v>
      </c>
      <c r="K105" s="13" t="s">
        <v>187</v>
      </c>
      <c r="L105" s="13">
        <v>30000</v>
      </c>
      <c r="M105" s="13">
        <v>0</v>
      </c>
      <c r="N105" s="19">
        <v>5.6000000000000001E-2</v>
      </c>
    </row>
    <row r="106" spans="1:14" x14ac:dyDescent="0.3">
      <c r="A106" s="13" t="s">
        <v>173</v>
      </c>
      <c r="B106" s="13" t="s">
        <v>171</v>
      </c>
      <c r="C106" s="14">
        <v>20000</v>
      </c>
      <c r="D106" s="14">
        <v>20000</v>
      </c>
      <c r="E106" s="14">
        <f t="shared" si="6"/>
        <v>21080</v>
      </c>
      <c r="F106" s="14">
        <f t="shared" si="6"/>
        <v>22218.32</v>
      </c>
      <c r="G106" s="13" t="s">
        <v>183</v>
      </c>
      <c r="H106" s="13">
        <v>0</v>
      </c>
      <c r="I106" s="13">
        <v>0</v>
      </c>
      <c r="J106" s="13">
        <v>5500</v>
      </c>
      <c r="K106" s="13" t="s">
        <v>187</v>
      </c>
      <c r="L106" s="13">
        <v>14500</v>
      </c>
      <c r="M106" s="13">
        <v>27.5</v>
      </c>
      <c r="N106" s="19">
        <v>5.6000000000000001E-2</v>
      </c>
    </row>
    <row r="107" spans="1:14" x14ac:dyDescent="0.3">
      <c r="A107" s="13" t="s">
        <v>174</v>
      </c>
      <c r="B107" s="13" t="s">
        <v>171</v>
      </c>
      <c r="C107" s="14">
        <v>260000</v>
      </c>
      <c r="D107" s="14">
        <v>150000</v>
      </c>
      <c r="E107" s="14">
        <f t="shared" si="6"/>
        <v>158100</v>
      </c>
      <c r="F107" s="14">
        <f t="shared" si="6"/>
        <v>166637.4</v>
      </c>
      <c r="G107" s="13" t="s">
        <v>183</v>
      </c>
      <c r="H107" s="13">
        <v>0</v>
      </c>
      <c r="I107" s="13">
        <v>0</v>
      </c>
      <c r="J107" s="13">
        <v>204347.83</v>
      </c>
      <c r="K107" s="13" t="s">
        <v>187</v>
      </c>
      <c r="L107" s="13">
        <v>55652.17</v>
      </c>
      <c r="M107" s="13">
        <v>78.59</v>
      </c>
      <c r="N107" s="19">
        <v>5.6000000000000001E-2</v>
      </c>
    </row>
    <row r="108" spans="1:14" x14ac:dyDescent="0.3">
      <c r="A108" s="13" t="s">
        <v>175</v>
      </c>
      <c r="B108" s="13" t="s">
        <v>171</v>
      </c>
      <c r="C108" s="14">
        <v>50000</v>
      </c>
      <c r="D108" s="14">
        <v>50000</v>
      </c>
      <c r="E108" s="14">
        <f t="shared" si="6"/>
        <v>52700</v>
      </c>
      <c r="F108" s="14">
        <f t="shared" si="6"/>
        <v>55545.8</v>
      </c>
      <c r="G108" s="13" t="s">
        <v>183</v>
      </c>
      <c r="H108" s="13">
        <v>0</v>
      </c>
      <c r="I108" s="13">
        <v>0</v>
      </c>
      <c r="J108" s="13">
        <v>33350</v>
      </c>
      <c r="K108" s="13" t="s">
        <v>187</v>
      </c>
      <c r="L108" s="13">
        <v>16650</v>
      </c>
      <c r="M108" s="13">
        <v>66.7</v>
      </c>
      <c r="N108" s="19">
        <v>5.6000000000000001E-2</v>
      </c>
    </row>
    <row r="109" spans="1:14" x14ac:dyDescent="0.3">
      <c r="A109" s="13" t="s">
        <v>176</v>
      </c>
      <c r="B109" s="13" t="s">
        <v>171</v>
      </c>
      <c r="C109" s="14">
        <v>378000</v>
      </c>
      <c r="D109" s="14">
        <v>200000</v>
      </c>
      <c r="E109" s="14">
        <f t="shared" si="6"/>
        <v>210800</v>
      </c>
      <c r="F109" s="14">
        <f t="shared" si="6"/>
        <v>222183.2</v>
      </c>
      <c r="G109" s="13" t="s">
        <v>183</v>
      </c>
      <c r="H109" s="13">
        <v>0</v>
      </c>
      <c r="I109" s="13">
        <v>0</v>
      </c>
      <c r="J109" s="13">
        <v>37000</v>
      </c>
      <c r="K109" s="13" t="s">
        <v>187</v>
      </c>
      <c r="L109" s="13">
        <v>341000</v>
      </c>
      <c r="M109" s="13">
        <v>9.7799999999999994</v>
      </c>
      <c r="N109" s="19">
        <v>5.6000000000000001E-2</v>
      </c>
    </row>
    <row r="110" spans="1:14" x14ac:dyDescent="0.3">
      <c r="A110" s="13" t="s">
        <v>177</v>
      </c>
      <c r="B110" s="13" t="s">
        <v>178</v>
      </c>
      <c r="C110" s="14">
        <v>200000</v>
      </c>
      <c r="D110" s="14">
        <v>200000</v>
      </c>
      <c r="E110" s="14">
        <f t="shared" si="6"/>
        <v>210800</v>
      </c>
      <c r="F110" s="14">
        <f t="shared" si="6"/>
        <v>222183.2</v>
      </c>
      <c r="G110" s="13" t="s">
        <v>183</v>
      </c>
      <c r="H110" s="13">
        <v>0</v>
      </c>
      <c r="I110" s="13">
        <v>0</v>
      </c>
      <c r="J110" s="13">
        <v>0</v>
      </c>
      <c r="K110" s="13" t="s">
        <v>187</v>
      </c>
      <c r="L110" s="13">
        <v>200000</v>
      </c>
      <c r="M110" s="13">
        <v>0</v>
      </c>
      <c r="N110" s="19">
        <v>5.6000000000000001E-2</v>
      </c>
    </row>
    <row r="111" spans="1:14" x14ac:dyDescent="0.3">
      <c r="A111" s="13" t="s">
        <v>179</v>
      </c>
      <c r="B111" s="13" t="s">
        <v>180</v>
      </c>
      <c r="C111" s="14">
        <v>81000</v>
      </c>
      <c r="D111" s="14">
        <f>C111*1.052</f>
        <v>85212</v>
      </c>
      <c r="E111" s="14">
        <f t="shared" si="6"/>
        <v>89813.448000000004</v>
      </c>
      <c r="F111" s="14">
        <f t="shared" si="6"/>
        <v>94663.374192000003</v>
      </c>
      <c r="G111" s="13" t="s">
        <v>183</v>
      </c>
      <c r="H111" s="13">
        <v>0</v>
      </c>
      <c r="I111" s="13">
        <v>0</v>
      </c>
      <c r="J111" s="13">
        <v>0</v>
      </c>
      <c r="K111" s="13" t="s">
        <v>187</v>
      </c>
      <c r="L111" s="13">
        <v>81000</v>
      </c>
      <c r="M111" s="13">
        <v>0</v>
      </c>
      <c r="N111" s="19">
        <v>5.6000000000000001E-2</v>
      </c>
    </row>
    <row r="112" spans="1:14" x14ac:dyDescent="0.3">
      <c r="A112" s="13" t="s">
        <v>181</v>
      </c>
      <c r="B112" s="13" t="s">
        <v>182</v>
      </c>
      <c r="C112" s="14">
        <v>90000</v>
      </c>
      <c r="D112" s="14">
        <v>90000</v>
      </c>
      <c r="E112" s="14">
        <f t="shared" si="6"/>
        <v>94860</v>
      </c>
      <c r="F112" s="14">
        <f t="shared" si="6"/>
        <v>99982.44</v>
      </c>
      <c r="G112" s="13" t="s">
        <v>183</v>
      </c>
      <c r="H112" s="13">
        <v>0</v>
      </c>
      <c r="I112" s="13">
        <v>0</v>
      </c>
      <c r="J112" s="13">
        <v>37400</v>
      </c>
      <c r="K112" s="13" t="s">
        <v>187</v>
      </c>
      <c r="L112" s="13">
        <v>52600</v>
      </c>
      <c r="M112" s="13">
        <v>41.55</v>
      </c>
      <c r="N112" s="19">
        <v>5.6000000000000001E-2</v>
      </c>
    </row>
    <row r="113" spans="1:14" ht="15" thickBot="1" x14ac:dyDescent="0.35">
      <c r="C113" s="15">
        <f>SUM(C64:C112)</f>
        <v>33452933</v>
      </c>
      <c r="D113" s="15">
        <f>SUM(D64:D112)</f>
        <v>33422461.804200005</v>
      </c>
      <c r="E113" s="15">
        <f>SUM(E64:E112)</f>
        <v>35677691.532666802</v>
      </c>
      <c r="F113" s="15">
        <f>SUM(F64:F112)</f>
        <v>38086232.84184359</v>
      </c>
    </row>
    <row r="114" spans="1:14" x14ac:dyDescent="0.3">
      <c r="A114" s="16" t="s">
        <v>514</v>
      </c>
    </row>
    <row r="115" spans="1:14" x14ac:dyDescent="0.3">
      <c r="A115" s="13" t="s">
        <v>192</v>
      </c>
      <c r="B115" s="13" t="s">
        <v>193</v>
      </c>
      <c r="C115" s="14">
        <v>12240</v>
      </c>
      <c r="D115" s="14">
        <f>C115*1.052</f>
        <v>12876.480000000001</v>
      </c>
      <c r="E115" s="14">
        <f>D115*1.054</f>
        <v>13571.809920000002</v>
      </c>
      <c r="F115" s="14">
        <f>E115*1.054</f>
        <v>14304.687655680002</v>
      </c>
      <c r="G115" s="13" t="s">
        <v>183</v>
      </c>
      <c r="H115" s="13">
        <v>0</v>
      </c>
      <c r="I115" s="13">
        <v>0</v>
      </c>
      <c r="J115" s="13">
        <v>0</v>
      </c>
      <c r="K115" s="13" t="s">
        <v>187</v>
      </c>
      <c r="L115" s="13">
        <v>12240</v>
      </c>
      <c r="M115" s="13">
        <v>0</v>
      </c>
      <c r="N115" s="19">
        <v>5.6000000000000001E-2</v>
      </c>
    </row>
    <row r="116" spans="1:14" x14ac:dyDescent="0.3">
      <c r="A116" s="13" t="s">
        <v>194</v>
      </c>
      <c r="B116" s="13" t="s">
        <v>7</v>
      </c>
      <c r="C116" s="14">
        <v>9103691</v>
      </c>
      <c r="D116" s="14">
        <f t="shared" ref="D116:F127" si="7">C116*1.07</f>
        <v>9740949.370000001</v>
      </c>
      <c r="E116" s="14">
        <f t="shared" si="7"/>
        <v>10422815.825900001</v>
      </c>
      <c r="F116" s="14">
        <f t="shared" si="7"/>
        <v>11152412.933713002</v>
      </c>
      <c r="G116" s="13" t="s">
        <v>183</v>
      </c>
      <c r="H116" s="13">
        <v>0</v>
      </c>
      <c r="I116" s="13">
        <v>0</v>
      </c>
      <c r="J116" s="13">
        <v>6487909.6799999997</v>
      </c>
      <c r="K116" s="13" t="s">
        <v>187</v>
      </c>
      <c r="L116" s="13">
        <v>2615781.3199999998</v>
      </c>
      <c r="M116" s="13">
        <v>71.260000000000005</v>
      </c>
      <c r="N116" s="18">
        <v>7.0000000000000007E-2</v>
      </c>
    </row>
    <row r="117" spans="1:14" x14ac:dyDescent="0.3">
      <c r="A117" s="13" t="s">
        <v>195</v>
      </c>
      <c r="B117" s="13" t="s">
        <v>9</v>
      </c>
      <c r="C117" s="14">
        <v>155326</v>
      </c>
      <c r="D117" s="14">
        <f t="shared" si="7"/>
        <v>166198.82</v>
      </c>
      <c r="E117" s="14">
        <f t="shared" si="7"/>
        <v>177832.73740000001</v>
      </c>
      <c r="F117" s="14">
        <f t="shared" si="7"/>
        <v>190281.02901800003</v>
      </c>
      <c r="G117" s="13" t="s">
        <v>183</v>
      </c>
      <c r="H117" s="13">
        <v>0</v>
      </c>
      <c r="I117" s="13">
        <v>0</v>
      </c>
      <c r="J117" s="13">
        <v>93714</v>
      </c>
      <c r="K117" s="13" t="s">
        <v>187</v>
      </c>
      <c r="L117" s="13">
        <v>61612</v>
      </c>
      <c r="M117" s="13">
        <v>60.33</v>
      </c>
      <c r="N117" s="18">
        <v>7.0000000000000007E-2</v>
      </c>
    </row>
    <row r="118" spans="1:14" x14ac:dyDescent="0.3">
      <c r="A118" s="13" t="s">
        <v>196</v>
      </c>
      <c r="B118" s="13" t="s">
        <v>11</v>
      </c>
      <c r="C118" s="14">
        <v>43980</v>
      </c>
      <c r="D118" s="14">
        <f t="shared" si="7"/>
        <v>47058.600000000006</v>
      </c>
      <c r="E118" s="14">
        <f t="shared" si="7"/>
        <v>50352.702000000012</v>
      </c>
      <c r="F118" s="14">
        <f t="shared" si="7"/>
        <v>53877.391140000014</v>
      </c>
      <c r="G118" s="13" t="s">
        <v>183</v>
      </c>
      <c r="H118" s="13">
        <v>0</v>
      </c>
      <c r="I118" s="13">
        <v>0</v>
      </c>
      <c r="J118" s="13">
        <v>22958.23</v>
      </c>
      <c r="K118" s="13" t="s">
        <v>187</v>
      </c>
      <c r="L118" s="13">
        <v>21021.77</v>
      </c>
      <c r="M118" s="13">
        <v>52.2</v>
      </c>
      <c r="N118" s="18">
        <v>7.0000000000000007E-2</v>
      </c>
    </row>
    <row r="119" spans="1:14" x14ac:dyDescent="0.3">
      <c r="A119" s="13" t="s">
        <v>197</v>
      </c>
      <c r="B119" s="13" t="s">
        <v>13</v>
      </c>
      <c r="C119" s="14">
        <v>172573</v>
      </c>
      <c r="D119" s="14">
        <f t="shared" si="7"/>
        <v>184653.11000000002</v>
      </c>
      <c r="E119" s="14">
        <f t="shared" si="7"/>
        <v>197578.82770000002</v>
      </c>
      <c r="F119" s="14">
        <f t="shared" si="7"/>
        <v>211409.34563900004</v>
      </c>
      <c r="G119" s="13" t="s">
        <v>183</v>
      </c>
      <c r="H119" s="13">
        <v>0</v>
      </c>
      <c r="I119" s="13">
        <v>0</v>
      </c>
      <c r="J119" s="13">
        <v>0</v>
      </c>
      <c r="K119" s="13" t="s">
        <v>187</v>
      </c>
      <c r="L119" s="13">
        <v>172573</v>
      </c>
      <c r="M119" s="13">
        <v>0</v>
      </c>
      <c r="N119" s="18">
        <v>7.0000000000000007E-2</v>
      </c>
    </row>
    <row r="120" spans="1:14" x14ac:dyDescent="0.3">
      <c r="A120" s="13" t="s">
        <v>198</v>
      </c>
      <c r="B120" s="13" t="s">
        <v>15</v>
      </c>
      <c r="C120" s="14">
        <v>1230500</v>
      </c>
      <c r="D120" s="14">
        <f t="shared" si="7"/>
        <v>1316635</v>
      </c>
      <c r="E120" s="14">
        <f t="shared" si="7"/>
        <v>1408799.4500000002</v>
      </c>
      <c r="F120" s="14">
        <f t="shared" si="7"/>
        <v>1507415.4115000004</v>
      </c>
      <c r="G120" s="13" t="s">
        <v>183</v>
      </c>
      <c r="H120" s="13">
        <v>0</v>
      </c>
      <c r="I120" s="13">
        <v>0</v>
      </c>
      <c r="J120" s="13">
        <v>990313.08</v>
      </c>
      <c r="K120" s="13" t="s">
        <v>187</v>
      </c>
      <c r="L120" s="13">
        <v>240186.92</v>
      </c>
      <c r="M120" s="13">
        <v>80.48</v>
      </c>
      <c r="N120" s="18">
        <v>7.0000000000000007E-2</v>
      </c>
    </row>
    <row r="121" spans="1:14" x14ac:dyDescent="0.3">
      <c r="A121" s="13" t="s">
        <v>199</v>
      </c>
      <c r="B121" s="13" t="s">
        <v>18</v>
      </c>
      <c r="C121" s="14">
        <v>48000</v>
      </c>
      <c r="D121" s="14">
        <f t="shared" si="7"/>
        <v>51360</v>
      </c>
      <c r="E121" s="14">
        <f t="shared" si="7"/>
        <v>54955.200000000004</v>
      </c>
      <c r="F121" s="14">
        <f t="shared" si="7"/>
        <v>58802.064000000006</v>
      </c>
      <c r="G121" s="13" t="s">
        <v>183</v>
      </c>
      <c r="H121" s="13">
        <v>0</v>
      </c>
      <c r="I121" s="13">
        <v>0</v>
      </c>
      <c r="J121" s="13">
        <v>36000</v>
      </c>
      <c r="K121" s="13" t="s">
        <v>187</v>
      </c>
      <c r="L121" s="13">
        <v>12000</v>
      </c>
      <c r="M121" s="13">
        <v>75</v>
      </c>
      <c r="N121" s="18">
        <v>7.0000000000000007E-2</v>
      </c>
    </row>
    <row r="122" spans="1:14" x14ac:dyDescent="0.3">
      <c r="A122" s="13" t="s">
        <v>200</v>
      </c>
      <c r="B122" s="13" t="s">
        <v>129</v>
      </c>
      <c r="C122" s="14">
        <v>800</v>
      </c>
      <c r="D122" s="14">
        <f t="shared" si="7"/>
        <v>856</v>
      </c>
      <c r="E122" s="14">
        <f t="shared" si="7"/>
        <v>915.92000000000007</v>
      </c>
      <c r="F122" s="14">
        <f t="shared" si="7"/>
        <v>980.03440000000012</v>
      </c>
      <c r="G122" s="13" t="s">
        <v>183</v>
      </c>
      <c r="H122" s="13">
        <v>0</v>
      </c>
      <c r="I122" s="13">
        <v>0</v>
      </c>
      <c r="J122" s="13">
        <v>320</v>
      </c>
      <c r="K122" s="13" t="s">
        <v>187</v>
      </c>
      <c r="L122" s="13">
        <v>480</v>
      </c>
      <c r="M122" s="13">
        <v>40</v>
      </c>
      <c r="N122" s="18">
        <v>7.0000000000000007E-2</v>
      </c>
    </row>
    <row r="123" spans="1:14" x14ac:dyDescent="0.3">
      <c r="A123" s="13" t="s">
        <v>201</v>
      </c>
      <c r="B123" s="13" t="s">
        <v>24</v>
      </c>
      <c r="C123" s="14">
        <v>2209</v>
      </c>
      <c r="D123" s="14">
        <f t="shared" si="7"/>
        <v>2363.63</v>
      </c>
      <c r="E123" s="14">
        <f t="shared" si="7"/>
        <v>2529.0841000000005</v>
      </c>
      <c r="F123" s="14">
        <f t="shared" si="7"/>
        <v>2706.1199870000005</v>
      </c>
      <c r="G123" s="13" t="s">
        <v>183</v>
      </c>
      <c r="H123" s="13">
        <v>0</v>
      </c>
      <c r="I123" s="13">
        <v>0</v>
      </c>
      <c r="J123" s="13">
        <v>1138.25</v>
      </c>
      <c r="K123" s="13" t="s">
        <v>187</v>
      </c>
      <c r="L123" s="13">
        <v>1070.75</v>
      </c>
      <c r="M123" s="13">
        <v>51.52</v>
      </c>
      <c r="N123" s="18">
        <v>7.0000000000000007E-2</v>
      </c>
    </row>
    <row r="124" spans="1:14" x14ac:dyDescent="0.3">
      <c r="A124" s="13" t="s">
        <v>202</v>
      </c>
      <c r="B124" s="13" t="s">
        <v>27</v>
      </c>
      <c r="C124" s="14">
        <v>58222</v>
      </c>
      <c r="D124" s="14">
        <f t="shared" si="7"/>
        <v>62297.54</v>
      </c>
      <c r="E124" s="14">
        <f t="shared" si="7"/>
        <v>66658.367800000007</v>
      </c>
      <c r="F124" s="14">
        <f t="shared" si="7"/>
        <v>71324.453546000019</v>
      </c>
      <c r="G124" s="13" t="s">
        <v>183</v>
      </c>
      <c r="H124" s="13">
        <v>0</v>
      </c>
      <c r="I124" s="13">
        <v>0</v>
      </c>
      <c r="J124" s="13">
        <v>36621.57</v>
      </c>
      <c r="K124" s="13" t="s">
        <v>187</v>
      </c>
      <c r="L124" s="13">
        <v>21600.43</v>
      </c>
      <c r="M124" s="13">
        <v>62.89</v>
      </c>
      <c r="N124" s="18">
        <v>7.0000000000000007E-2</v>
      </c>
    </row>
    <row r="125" spans="1:14" x14ac:dyDescent="0.3">
      <c r="A125" s="13" t="s">
        <v>203</v>
      </c>
      <c r="B125" s="13" t="s">
        <v>29</v>
      </c>
      <c r="C125" s="14">
        <v>518940</v>
      </c>
      <c r="D125" s="14">
        <f t="shared" si="7"/>
        <v>555265.80000000005</v>
      </c>
      <c r="E125" s="14">
        <f t="shared" si="7"/>
        <v>594134.40600000008</v>
      </c>
      <c r="F125" s="14">
        <f t="shared" si="7"/>
        <v>635723.81442000007</v>
      </c>
      <c r="G125" s="13" t="s">
        <v>183</v>
      </c>
      <c r="H125" s="13">
        <v>0</v>
      </c>
      <c r="I125" s="13">
        <v>0</v>
      </c>
      <c r="J125" s="13">
        <v>351613.02</v>
      </c>
      <c r="K125" s="13" t="s">
        <v>187</v>
      </c>
      <c r="L125" s="13">
        <v>167326.98000000001</v>
      </c>
      <c r="M125" s="13">
        <v>67.75</v>
      </c>
      <c r="N125" s="18">
        <v>7.0000000000000007E-2</v>
      </c>
    </row>
    <row r="126" spans="1:14" x14ac:dyDescent="0.3">
      <c r="A126" s="13" t="s">
        <v>204</v>
      </c>
      <c r="B126" s="13" t="s">
        <v>31</v>
      </c>
      <c r="C126" s="14">
        <v>1329002</v>
      </c>
      <c r="D126" s="14">
        <f t="shared" si="7"/>
        <v>1422032.1400000001</v>
      </c>
      <c r="E126" s="14">
        <f t="shared" si="7"/>
        <v>1521574.3898000002</v>
      </c>
      <c r="F126" s="14">
        <f t="shared" si="7"/>
        <v>1628084.5970860003</v>
      </c>
      <c r="G126" s="13" t="s">
        <v>183</v>
      </c>
      <c r="H126" s="13">
        <v>0</v>
      </c>
      <c r="I126" s="13">
        <v>0</v>
      </c>
      <c r="J126" s="13">
        <v>949060.72</v>
      </c>
      <c r="K126" s="13" t="s">
        <v>187</v>
      </c>
      <c r="L126" s="13">
        <v>379941.28</v>
      </c>
      <c r="M126" s="13">
        <v>71.41</v>
      </c>
      <c r="N126" s="18">
        <v>7.0000000000000007E-2</v>
      </c>
    </row>
    <row r="127" spans="1:14" x14ac:dyDescent="0.3">
      <c r="A127" s="13" t="s">
        <v>205</v>
      </c>
      <c r="B127" s="13" t="s">
        <v>33</v>
      </c>
      <c r="C127" s="14">
        <v>29464</v>
      </c>
      <c r="D127" s="14">
        <f t="shared" si="7"/>
        <v>31526.480000000003</v>
      </c>
      <c r="E127" s="14">
        <f t="shared" si="7"/>
        <v>33733.333600000005</v>
      </c>
      <c r="F127" s="14">
        <f t="shared" si="7"/>
        <v>36094.666952000007</v>
      </c>
      <c r="G127" s="13" t="s">
        <v>183</v>
      </c>
      <c r="H127" s="13">
        <v>0</v>
      </c>
      <c r="I127" s="13">
        <v>0</v>
      </c>
      <c r="J127" s="13">
        <v>19631.04</v>
      </c>
      <c r="K127" s="13" t="s">
        <v>187</v>
      </c>
      <c r="L127" s="13">
        <v>9832.9599999999991</v>
      </c>
      <c r="M127" s="13">
        <v>66.62</v>
      </c>
      <c r="N127" s="18">
        <v>7.0000000000000007E-2</v>
      </c>
    </row>
    <row r="128" spans="1:14" x14ac:dyDescent="0.3">
      <c r="A128" s="13" t="s">
        <v>385</v>
      </c>
      <c r="B128" s="13" t="s">
        <v>206</v>
      </c>
      <c r="E128" s="14">
        <v>1320000</v>
      </c>
      <c r="F128" s="14">
        <v>13200000</v>
      </c>
    </row>
    <row r="129" spans="1:14" x14ac:dyDescent="0.3">
      <c r="A129" s="13" t="s">
        <v>207</v>
      </c>
      <c r="B129" s="13" t="s">
        <v>84</v>
      </c>
      <c r="C129" s="14">
        <v>2000</v>
      </c>
      <c r="D129" s="14">
        <v>2000</v>
      </c>
      <c r="E129" s="14">
        <f t="shared" ref="E129:F140" si="8">D129*1.054</f>
        <v>2108</v>
      </c>
      <c r="F129" s="14">
        <f t="shared" si="8"/>
        <v>2221.8319999999999</v>
      </c>
      <c r="G129" s="13" t="s">
        <v>183</v>
      </c>
      <c r="H129" s="13">
        <v>0</v>
      </c>
      <c r="I129" s="13">
        <v>0</v>
      </c>
      <c r="J129" s="13">
        <v>98.2</v>
      </c>
      <c r="K129" s="13" t="s">
        <v>187</v>
      </c>
      <c r="L129" s="13">
        <v>1901.8</v>
      </c>
      <c r="M129" s="13">
        <v>4.91</v>
      </c>
      <c r="N129" s="19">
        <v>5.6000000000000001E-2</v>
      </c>
    </row>
    <row r="130" spans="1:14" x14ac:dyDescent="0.3">
      <c r="A130" s="13" t="s">
        <v>208</v>
      </c>
      <c r="B130" s="13" t="s">
        <v>209</v>
      </c>
      <c r="C130" s="14">
        <v>550000</v>
      </c>
      <c r="D130" s="14">
        <v>550000</v>
      </c>
      <c r="E130" s="14">
        <f t="shared" si="8"/>
        <v>579700</v>
      </c>
      <c r="F130" s="14">
        <f t="shared" si="8"/>
        <v>611003.80000000005</v>
      </c>
      <c r="G130" s="13" t="s">
        <v>183</v>
      </c>
      <c r="H130" s="13">
        <v>0</v>
      </c>
      <c r="I130" s="13">
        <v>0</v>
      </c>
      <c r="J130" s="13">
        <v>416137.71</v>
      </c>
      <c r="K130" s="13" t="s">
        <v>187</v>
      </c>
      <c r="L130" s="13">
        <v>133862.29</v>
      </c>
      <c r="M130" s="13">
        <v>75.66</v>
      </c>
      <c r="N130" s="19">
        <v>5.6000000000000001E-2</v>
      </c>
    </row>
    <row r="131" spans="1:14" x14ac:dyDescent="0.3">
      <c r="A131" s="13" t="s">
        <v>210</v>
      </c>
      <c r="B131" s="13" t="s">
        <v>211</v>
      </c>
      <c r="C131" s="14">
        <v>8000000</v>
      </c>
      <c r="D131" s="14">
        <v>5000000</v>
      </c>
      <c r="E131" s="14">
        <f t="shared" si="8"/>
        <v>5270000</v>
      </c>
      <c r="F131" s="14">
        <f t="shared" si="8"/>
        <v>5554580</v>
      </c>
      <c r="G131" s="13" t="s">
        <v>183</v>
      </c>
      <c r="H131" s="13">
        <v>0</v>
      </c>
      <c r="I131" s="13">
        <v>0</v>
      </c>
      <c r="J131" s="13">
        <v>9740159.4000000004</v>
      </c>
      <c r="K131" s="13" t="s">
        <v>187</v>
      </c>
      <c r="L131" s="13">
        <v>-1740159.4</v>
      </c>
      <c r="M131" s="13">
        <v>121.75</v>
      </c>
      <c r="N131" s="19">
        <v>5.6000000000000001E-2</v>
      </c>
    </row>
    <row r="132" spans="1:14" x14ac:dyDescent="0.3">
      <c r="A132" s="13" t="s">
        <v>212</v>
      </c>
      <c r="B132" s="13" t="s">
        <v>213</v>
      </c>
      <c r="C132" s="14">
        <v>33261086</v>
      </c>
      <c r="D132" s="14">
        <v>36000000</v>
      </c>
      <c r="E132" s="14">
        <f t="shared" si="8"/>
        <v>37944000</v>
      </c>
      <c r="F132" s="14">
        <f t="shared" si="8"/>
        <v>39992976</v>
      </c>
      <c r="G132" s="13" t="s">
        <v>183</v>
      </c>
      <c r="H132" s="13">
        <v>0</v>
      </c>
      <c r="I132" s="13">
        <v>0</v>
      </c>
      <c r="J132" s="13">
        <v>26200867.890000001</v>
      </c>
      <c r="K132" s="13" t="s">
        <v>187</v>
      </c>
      <c r="L132" s="13">
        <v>7060218.1100000003</v>
      </c>
      <c r="M132" s="13">
        <v>78.77</v>
      </c>
      <c r="N132" s="19">
        <v>5.6000000000000001E-2</v>
      </c>
    </row>
    <row r="133" spans="1:14" x14ac:dyDescent="0.3">
      <c r="A133" s="13" t="s">
        <v>214</v>
      </c>
      <c r="B133" s="13" t="s">
        <v>215</v>
      </c>
      <c r="C133" s="14">
        <v>5691150</v>
      </c>
      <c r="D133" s="14">
        <v>5691150</v>
      </c>
      <c r="E133" s="14">
        <f t="shared" si="8"/>
        <v>5998472.1000000006</v>
      </c>
      <c r="F133" s="14">
        <f t="shared" si="8"/>
        <v>6322389.5934000006</v>
      </c>
      <c r="G133" s="13" t="s">
        <v>183</v>
      </c>
      <c r="H133" s="13">
        <v>0</v>
      </c>
      <c r="I133" s="13">
        <v>0</v>
      </c>
      <c r="J133" s="13">
        <v>4453589.78</v>
      </c>
      <c r="K133" s="13" t="s">
        <v>187</v>
      </c>
      <c r="L133" s="13">
        <v>1237560.22</v>
      </c>
      <c r="M133" s="13">
        <v>78.25</v>
      </c>
      <c r="N133" s="19">
        <v>5.6000000000000001E-2</v>
      </c>
    </row>
    <row r="134" spans="1:14" x14ac:dyDescent="0.3">
      <c r="A134" s="13" t="s">
        <v>216</v>
      </c>
      <c r="B134" s="13" t="s">
        <v>217</v>
      </c>
      <c r="C134" s="14">
        <v>900000</v>
      </c>
      <c r="D134" s="14">
        <v>900000</v>
      </c>
      <c r="E134" s="14">
        <f t="shared" si="8"/>
        <v>948600</v>
      </c>
      <c r="F134" s="14">
        <f t="shared" si="8"/>
        <v>999824.4</v>
      </c>
      <c r="G134" s="13" t="s">
        <v>183</v>
      </c>
      <c r="H134" s="13">
        <v>0</v>
      </c>
      <c r="I134" s="13">
        <v>0</v>
      </c>
      <c r="J134" s="13">
        <v>765223.99</v>
      </c>
      <c r="K134" s="13" t="s">
        <v>187</v>
      </c>
      <c r="L134" s="13">
        <v>134776.01</v>
      </c>
      <c r="M134" s="13">
        <v>85.02</v>
      </c>
      <c r="N134" s="19">
        <v>5.6000000000000001E-2</v>
      </c>
    </row>
    <row r="135" spans="1:14" x14ac:dyDescent="0.3">
      <c r="A135" s="13" t="s">
        <v>218</v>
      </c>
      <c r="B135" s="13" t="s">
        <v>219</v>
      </c>
      <c r="C135" s="14">
        <v>100000</v>
      </c>
      <c r="D135" s="14">
        <f>C135*1.052</f>
        <v>105200</v>
      </c>
      <c r="E135" s="14">
        <f t="shared" si="8"/>
        <v>110880.8</v>
      </c>
      <c r="F135" s="14">
        <f t="shared" si="8"/>
        <v>116868.36320000001</v>
      </c>
      <c r="G135" s="13" t="s">
        <v>183</v>
      </c>
      <c r="H135" s="13">
        <v>0</v>
      </c>
      <c r="I135" s="13">
        <v>24347.83</v>
      </c>
      <c r="J135" s="13">
        <v>34560</v>
      </c>
      <c r="K135" s="13" t="s">
        <v>187</v>
      </c>
      <c r="L135" s="13">
        <v>65440</v>
      </c>
      <c r="M135" s="13">
        <v>34.56</v>
      </c>
      <c r="N135" s="19">
        <v>5.6000000000000001E-2</v>
      </c>
    </row>
    <row r="136" spans="1:14" x14ac:dyDescent="0.3">
      <c r="A136" s="13" t="s">
        <v>220</v>
      </c>
      <c r="B136" s="13" t="s">
        <v>221</v>
      </c>
      <c r="C136" s="14">
        <v>190000</v>
      </c>
      <c r="D136" s="14">
        <f>C136*1.052</f>
        <v>199880</v>
      </c>
      <c r="E136" s="14">
        <f t="shared" si="8"/>
        <v>210673.52000000002</v>
      </c>
      <c r="F136" s="14">
        <f t="shared" si="8"/>
        <v>222049.89008000004</v>
      </c>
      <c r="G136" s="13" t="s">
        <v>183</v>
      </c>
      <c r="H136" s="13">
        <v>0</v>
      </c>
      <c r="I136" s="13">
        <v>4000</v>
      </c>
      <c r="J136" s="13">
        <v>88576.960000000006</v>
      </c>
      <c r="K136" s="13" t="s">
        <v>187</v>
      </c>
      <c r="L136" s="13">
        <v>101423.03999999999</v>
      </c>
      <c r="M136" s="13">
        <v>46.61</v>
      </c>
      <c r="N136" s="19">
        <v>5.6000000000000001E-2</v>
      </c>
    </row>
    <row r="137" spans="1:14" x14ac:dyDescent="0.3">
      <c r="A137" s="13" t="s">
        <v>222</v>
      </c>
      <c r="B137" s="13" t="s">
        <v>223</v>
      </c>
      <c r="C137" s="14">
        <v>350000</v>
      </c>
      <c r="D137" s="14">
        <v>200000</v>
      </c>
      <c r="E137" s="14">
        <f t="shared" si="8"/>
        <v>210800</v>
      </c>
      <c r="F137" s="14">
        <f t="shared" si="8"/>
        <v>222183.2</v>
      </c>
      <c r="G137" s="13" t="s">
        <v>183</v>
      </c>
      <c r="H137" s="13">
        <v>0</v>
      </c>
      <c r="I137" s="13">
        <v>0</v>
      </c>
      <c r="J137" s="13">
        <v>31612.86</v>
      </c>
      <c r="K137" s="13" t="s">
        <v>187</v>
      </c>
      <c r="L137" s="13">
        <v>318387.14</v>
      </c>
      <c r="M137" s="13">
        <v>9.0299999999999994</v>
      </c>
      <c r="N137" s="19">
        <v>5.6000000000000001E-2</v>
      </c>
    </row>
    <row r="138" spans="1:14" x14ac:dyDescent="0.3">
      <c r="A138" s="13" t="s">
        <v>224</v>
      </c>
      <c r="B138" s="13" t="s">
        <v>225</v>
      </c>
      <c r="C138" s="14">
        <v>3938914</v>
      </c>
      <c r="D138" s="14">
        <f>C138*1.052</f>
        <v>4143737.5280000004</v>
      </c>
      <c r="E138" s="14">
        <f t="shared" si="8"/>
        <v>4367499.3545120005</v>
      </c>
      <c r="F138" s="14">
        <f t="shared" si="8"/>
        <v>4603344.3196556484</v>
      </c>
      <c r="G138" s="13" t="s">
        <v>183</v>
      </c>
      <c r="H138" s="13">
        <v>0</v>
      </c>
      <c r="I138" s="13">
        <v>0</v>
      </c>
      <c r="J138" s="13">
        <v>2426280.12</v>
      </c>
      <c r="K138" s="13" t="s">
        <v>187</v>
      </c>
      <c r="L138" s="13">
        <v>1512633.88</v>
      </c>
      <c r="M138" s="13">
        <v>61.59</v>
      </c>
      <c r="N138" s="19">
        <v>5.6000000000000001E-2</v>
      </c>
    </row>
    <row r="139" spans="1:14" x14ac:dyDescent="0.3">
      <c r="A139" s="13" t="s">
        <v>226</v>
      </c>
      <c r="B139" s="13" t="s">
        <v>101</v>
      </c>
      <c r="C139" s="14">
        <v>79400</v>
      </c>
      <c r="D139" s="14">
        <f>C139*1.052</f>
        <v>83528.800000000003</v>
      </c>
      <c r="E139" s="14">
        <f t="shared" si="8"/>
        <v>88039.355200000005</v>
      </c>
      <c r="F139" s="14">
        <f t="shared" si="8"/>
        <v>92793.480380800014</v>
      </c>
      <c r="G139" s="13" t="s">
        <v>183</v>
      </c>
      <c r="H139" s="13">
        <v>0</v>
      </c>
      <c r="I139" s="13">
        <v>0</v>
      </c>
      <c r="J139" s="13">
        <v>57849.97</v>
      </c>
      <c r="K139" s="13" t="s">
        <v>187</v>
      </c>
      <c r="L139" s="13">
        <v>21550.03</v>
      </c>
      <c r="M139" s="13">
        <v>72.849999999999994</v>
      </c>
      <c r="N139" s="19">
        <v>5.6000000000000001E-2</v>
      </c>
    </row>
    <row r="140" spans="1:14" x14ac:dyDescent="0.3">
      <c r="A140" s="13" t="s">
        <v>227</v>
      </c>
      <c r="B140" s="13" t="s">
        <v>164</v>
      </c>
      <c r="C140" s="14">
        <v>378000</v>
      </c>
      <c r="D140" s="14">
        <v>250000</v>
      </c>
      <c r="E140" s="14">
        <f t="shared" si="8"/>
        <v>263500</v>
      </c>
      <c r="F140" s="14">
        <f t="shared" si="8"/>
        <v>277729</v>
      </c>
      <c r="G140" s="13" t="s">
        <v>183</v>
      </c>
      <c r="H140" s="13">
        <v>0</v>
      </c>
      <c r="I140" s="13">
        <v>73300.990000000005</v>
      </c>
      <c r="J140" s="13">
        <v>303043.18</v>
      </c>
      <c r="K140" s="13" t="s">
        <v>187</v>
      </c>
      <c r="L140" s="13">
        <v>74956.820000000007</v>
      </c>
      <c r="M140" s="13">
        <v>80.17</v>
      </c>
      <c r="N140" s="19">
        <v>5.6000000000000001E-2</v>
      </c>
    </row>
    <row r="141" spans="1:14" ht="15" thickBot="1" x14ac:dyDescent="0.35">
      <c r="C141" s="15">
        <f>SUM(C115:C140)</f>
        <v>66145497</v>
      </c>
      <c r="D141" s="15">
        <f>SUM(D115:D140)</f>
        <v>66719569.297999993</v>
      </c>
      <c r="E141" s="15">
        <f>SUM(E115:E140)</f>
        <v>71859725.183932006</v>
      </c>
      <c r="F141" s="15">
        <f>SUM(F115:F140)</f>
        <v>87781380.427773133</v>
      </c>
      <c r="N141" s="19"/>
    </row>
    <row r="142" spans="1:14" x14ac:dyDescent="0.3">
      <c r="A142" s="16" t="s">
        <v>515</v>
      </c>
    </row>
    <row r="143" spans="1:14" x14ac:dyDescent="0.3">
      <c r="A143" s="13" t="s">
        <v>228</v>
      </c>
      <c r="B143" s="13" t="s">
        <v>229</v>
      </c>
      <c r="C143" s="14">
        <v>27726</v>
      </c>
      <c r="D143" s="14">
        <f t="shared" ref="D143:M157" si="9">C143*1.07</f>
        <v>29666.820000000003</v>
      </c>
      <c r="E143" s="14">
        <f t="shared" si="9"/>
        <v>31743.497400000004</v>
      </c>
      <c r="F143" s="14">
        <f t="shared" si="9"/>
        <v>33965.54221800001</v>
      </c>
      <c r="G143" s="14" t="e">
        <f>#REF!*1.07</f>
        <v>#REF!</v>
      </c>
      <c r="H143" s="14" t="e">
        <f t="shared" si="9"/>
        <v>#REF!</v>
      </c>
      <c r="I143" s="14" t="e">
        <f t="shared" si="9"/>
        <v>#REF!</v>
      </c>
      <c r="J143" s="14" t="e">
        <f t="shared" si="9"/>
        <v>#REF!</v>
      </c>
      <c r="K143" s="14" t="e">
        <f t="shared" si="9"/>
        <v>#REF!</v>
      </c>
      <c r="L143" s="14" t="e">
        <f t="shared" si="9"/>
        <v>#REF!</v>
      </c>
      <c r="M143" s="14" t="e">
        <f t="shared" si="9"/>
        <v>#REF!</v>
      </c>
      <c r="N143" s="18">
        <v>7.0000000000000007E-2</v>
      </c>
    </row>
    <row r="144" spans="1:14" x14ac:dyDescent="0.3">
      <c r="A144" s="13" t="s">
        <v>230</v>
      </c>
      <c r="B144" s="13" t="s">
        <v>231</v>
      </c>
      <c r="C144" s="14">
        <v>27539</v>
      </c>
      <c r="D144" s="14">
        <f t="shared" si="9"/>
        <v>29466.730000000003</v>
      </c>
      <c r="E144" s="14">
        <f t="shared" si="9"/>
        <v>31529.401100000006</v>
      </c>
      <c r="F144" s="14">
        <f t="shared" si="9"/>
        <v>33736.459177000012</v>
      </c>
      <c r="G144" s="13" t="s">
        <v>183</v>
      </c>
      <c r="H144" s="13">
        <v>0</v>
      </c>
      <c r="I144" s="13">
        <v>0</v>
      </c>
      <c r="J144" s="13">
        <v>27538.84</v>
      </c>
      <c r="K144" s="13" t="s">
        <v>187</v>
      </c>
      <c r="L144" s="13">
        <v>0.16</v>
      </c>
      <c r="M144" s="13">
        <v>99.99</v>
      </c>
      <c r="N144" s="18">
        <v>7.0000000000000007E-2</v>
      </c>
    </row>
    <row r="145" spans="1:14" x14ac:dyDescent="0.3">
      <c r="A145" s="13" t="s">
        <v>232</v>
      </c>
      <c r="B145" s="13" t="s">
        <v>7</v>
      </c>
      <c r="C145" s="14">
        <v>24790642</v>
      </c>
      <c r="D145" s="14">
        <f t="shared" si="9"/>
        <v>26525986.940000001</v>
      </c>
      <c r="E145" s="14">
        <f t="shared" si="9"/>
        <v>28382806.025800005</v>
      </c>
      <c r="F145" s="14">
        <f t="shared" si="9"/>
        <v>30369602.447606008</v>
      </c>
      <c r="G145" s="13" t="s">
        <v>183</v>
      </c>
      <c r="H145" s="13">
        <v>0</v>
      </c>
      <c r="I145" s="13">
        <v>0</v>
      </c>
      <c r="J145" s="13">
        <v>17025726.640000001</v>
      </c>
      <c r="K145" s="13" t="s">
        <v>187</v>
      </c>
      <c r="L145" s="13">
        <v>7764915.3600000003</v>
      </c>
      <c r="M145" s="13">
        <v>68.67</v>
      </c>
      <c r="N145" s="18">
        <v>7.0000000000000007E-2</v>
      </c>
    </row>
    <row r="146" spans="1:14" x14ac:dyDescent="0.3">
      <c r="A146" s="13" t="s">
        <v>233</v>
      </c>
      <c r="B146" s="13" t="s">
        <v>7</v>
      </c>
      <c r="C146" s="14">
        <v>332000</v>
      </c>
      <c r="D146" s="14">
        <f t="shared" si="9"/>
        <v>355240</v>
      </c>
      <c r="E146" s="14">
        <f t="shared" si="9"/>
        <v>380106.80000000005</v>
      </c>
      <c r="F146" s="14">
        <f t="shared" si="9"/>
        <v>406714.27600000007</v>
      </c>
      <c r="G146" s="13" t="s">
        <v>183</v>
      </c>
      <c r="H146" s="13">
        <v>0</v>
      </c>
      <c r="I146" s="13">
        <v>0</v>
      </c>
      <c r="J146" s="13">
        <v>177654.47</v>
      </c>
      <c r="K146" s="13" t="s">
        <v>187</v>
      </c>
      <c r="L146" s="13">
        <v>154345.53</v>
      </c>
      <c r="M146" s="13">
        <v>53.51</v>
      </c>
      <c r="N146" s="18">
        <v>7.0000000000000007E-2</v>
      </c>
    </row>
    <row r="147" spans="1:14" x14ac:dyDescent="0.3">
      <c r="A147" s="13" t="s">
        <v>234</v>
      </c>
      <c r="B147" s="13" t="s">
        <v>7</v>
      </c>
      <c r="C147" s="14">
        <v>200000</v>
      </c>
      <c r="D147" s="14">
        <f t="shared" si="9"/>
        <v>214000</v>
      </c>
      <c r="E147" s="14">
        <f t="shared" si="9"/>
        <v>228980</v>
      </c>
      <c r="F147" s="14">
        <f t="shared" si="9"/>
        <v>245008.6</v>
      </c>
      <c r="G147" s="13" t="s">
        <v>183</v>
      </c>
      <c r="H147" s="13">
        <v>0</v>
      </c>
      <c r="I147" s="13">
        <v>0</v>
      </c>
      <c r="J147" s="13">
        <v>0</v>
      </c>
      <c r="K147" s="13" t="s">
        <v>187</v>
      </c>
      <c r="L147" s="13">
        <v>200000</v>
      </c>
      <c r="M147" s="13">
        <v>0</v>
      </c>
      <c r="N147" s="18">
        <v>7.0000000000000007E-2</v>
      </c>
    </row>
    <row r="148" spans="1:14" x14ac:dyDescent="0.3">
      <c r="A148" s="13" t="s">
        <v>235</v>
      </c>
      <c r="B148" s="13" t="s">
        <v>9</v>
      </c>
      <c r="C148" s="14">
        <v>250406</v>
      </c>
      <c r="D148" s="14">
        <f t="shared" si="9"/>
        <v>267934.42000000004</v>
      </c>
      <c r="E148" s="14">
        <f t="shared" si="9"/>
        <v>286689.82940000005</v>
      </c>
      <c r="F148" s="14">
        <f t="shared" si="9"/>
        <v>306758.11745800008</v>
      </c>
      <c r="G148" s="13" t="s">
        <v>183</v>
      </c>
      <c r="H148" s="13">
        <v>0</v>
      </c>
      <c r="I148" s="13">
        <v>0</v>
      </c>
      <c r="J148" s="13">
        <v>160200</v>
      </c>
      <c r="K148" s="13" t="s">
        <v>187</v>
      </c>
      <c r="L148" s="13">
        <v>90206</v>
      </c>
      <c r="M148" s="13">
        <v>63.97</v>
      </c>
      <c r="N148" s="18">
        <v>7.0000000000000007E-2</v>
      </c>
    </row>
    <row r="149" spans="1:14" x14ac:dyDescent="0.3">
      <c r="A149" s="13" t="s">
        <v>236</v>
      </c>
      <c r="B149" s="13" t="s">
        <v>11</v>
      </c>
      <c r="C149" s="14">
        <v>103228</v>
      </c>
      <c r="D149" s="14">
        <f t="shared" si="9"/>
        <v>110453.96</v>
      </c>
      <c r="E149" s="14">
        <f t="shared" si="9"/>
        <v>118185.73720000002</v>
      </c>
      <c r="F149" s="14">
        <f t="shared" si="9"/>
        <v>126458.73880400002</v>
      </c>
      <c r="G149" s="13" t="s">
        <v>183</v>
      </c>
      <c r="H149" s="13">
        <v>0</v>
      </c>
      <c r="I149" s="13">
        <v>0</v>
      </c>
      <c r="J149" s="13">
        <v>68652.429999999993</v>
      </c>
      <c r="K149" s="13" t="s">
        <v>187</v>
      </c>
      <c r="L149" s="13">
        <v>34575.57</v>
      </c>
      <c r="M149" s="13">
        <v>66.5</v>
      </c>
      <c r="N149" s="18">
        <v>7.0000000000000007E-2</v>
      </c>
    </row>
    <row r="150" spans="1:14" x14ac:dyDescent="0.3">
      <c r="A150" s="13" t="s">
        <v>237</v>
      </c>
      <c r="B150" s="13" t="s">
        <v>13</v>
      </c>
      <c r="C150" s="14">
        <v>1090385</v>
      </c>
      <c r="D150" s="14">
        <f t="shared" si="9"/>
        <v>1166711.95</v>
      </c>
      <c r="E150" s="14">
        <f t="shared" si="9"/>
        <v>1248381.7864999999</v>
      </c>
      <c r="F150" s="14">
        <f t="shared" si="9"/>
        <v>1335768.511555</v>
      </c>
      <c r="G150" s="13" t="s">
        <v>183</v>
      </c>
      <c r="H150" s="13">
        <v>0</v>
      </c>
      <c r="I150" s="13">
        <v>0</v>
      </c>
      <c r="J150" s="13">
        <v>1363095.22</v>
      </c>
      <c r="K150" s="13" t="s">
        <v>187</v>
      </c>
      <c r="L150" s="13">
        <v>-272710.21999999997</v>
      </c>
      <c r="M150" s="13">
        <v>125.01</v>
      </c>
      <c r="N150" s="18">
        <v>7.0000000000000007E-2</v>
      </c>
    </row>
    <row r="151" spans="1:14" x14ac:dyDescent="0.3">
      <c r="A151" s="13" t="s">
        <v>238</v>
      </c>
      <c r="B151" s="13" t="s">
        <v>15</v>
      </c>
      <c r="C151" s="14">
        <v>2172100</v>
      </c>
      <c r="D151" s="14">
        <f t="shared" si="9"/>
        <v>2324147</v>
      </c>
      <c r="E151" s="14">
        <f t="shared" si="9"/>
        <v>2486837.29</v>
      </c>
      <c r="F151" s="14">
        <f t="shared" si="9"/>
        <v>2660915.9003000003</v>
      </c>
      <c r="G151" s="13" t="s">
        <v>183</v>
      </c>
      <c r="H151" s="13">
        <v>0</v>
      </c>
      <c r="I151" s="13">
        <v>0</v>
      </c>
      <c r="J151" s="13">
        <v>1950323.25</v>
      </c>
      <c r="K151" s="13" t="s">
        <v>187</v>
      </c>
      <c r="L151" s="13">
        <v>221776.75</v>
      </c>
      <c r="M151" s="13">
        <v>89.78</v>
      </c>
      <c r="N151" s="18">
        <v>7.0000000000000007E-2</v>
      </c>
    </row>
    <row r="152" spans="1:14" x14ac:dyDescent="0.3">
      <c r="A152" s="13" t="s">
        <v>239</v>
      </c>
      <c r="B152" s="13" t="s">
        <v>18</v>
      </c>
      <c r="C152" s="14">
        <v>13000</v>
      </c>
      <c r="D152" s="14">
        <f t="shared" si="9"/>
        <v>13910</v>
      </c>
      <c r="E152" s="14">
        <f t="shared" si="9"/>
        <v>14883.7</v>
      </c>
      <c r="F152" s="14">
        <f t="shared" si="9"/>
        <v>15925.559000000001</v>
      </c>
      <c r="G152" s="13" t="s">
        <v>183</v>
      </c>
      <c r="H152" s="13">
        <v>0</v>
      </c>
      <c r="I152" s="13">
        <v>0</v>
      </c>
      <c r="J152" s="13">
        <v>10079.629999999999</v>
      </c>
      <c r="K152" s="13" t="s">
        <v>187</v>
      </c>
      <c r="L152" s="13">
        <v>2920.37</v>
      </c>
      <c r="M152" s="13">
        <v>77.53</v>
      </c>
      <c r="N152" s="18">
        <v>7.0000000000000007E-2</v>
      </c>
    </row>
    <row r="153" spans="1:14" x14ac:dyDescent="0.3">
      <c r="A153" s="13" t="s">
        <v>240</v>
      </c>
      <c r="B153" s="13" t="s">
        <v>24</v>
      </c>
      <c r="C153" s="14">
        <v>6042</v>
      </c>
      <c r="D153" s="14">
        <f t="shared" si="9"/>
        <v>6464.9400000000005</v>
      </c>
      <c r="E153" s="14">
        <f t="shared" si="9"/>
        <v>6917.4858000000013</v>
      </c>
      <c r="F153" s="14">
        <f t="shared" si="9"/>
        <v>7401.7098060000017</v>
      </c>
      <c r="G153" s="13" t="s">
        <v>183</v>
      </c>
      <c r="H153" s="13">
        <v>0</v>
      </c>
      <c r="I153" s="13">
        <v>0</v>
      </c>
      <c r="J153" s="13">
        <v>3753.75</v>
      </c>
      <c r="K153" s="13" t="s">
        <v>187</v>
      </c>
      <c r="L153" s="13">
        <v>2288.25</v>
      </c>
      <c r="M153" s="13">
        <v>62.12</v>
      </c>
      <c r="N153" s="18">
        <v>7.0000000000000007E-2</v>
      </c>
    </row>
    <row r="154" spans="1:14" x14ac:dyDescent="0.3">
      <c r="A154" s="13" t="s">
        <v>241</v>
      </c>
      <c r="B154" s="13" t="s">
        <v>27</v>
      </c>
      <c r="C154" s="14">
        <v>199262</v>
      </c>
      <c r="D154" s="14">
        <f t="shared" si="9"/>
        <v>213210.34000000003</v>
      </c>
      <c r="E154" s="14">
        <f t="shared" si="9"/>
        <v>228135.06380000003</v>
      </c>
      <c r="F154" s="14">
        <f t="shared" si="9"/>
        <v>244104.51826600006</v>
      </c>
      <c r="G154" s="13" t="s">
        <v>183</v>
      </c>
      <c r="H154" s="13">
        <v>0</v>
      </c>
      <c r="I154" s="13">
        <v>0</v>
      </c>
      <c r="J154" s="13">
        <v>130791.64</v>
      </c>
      <c r="K154" s="13" t="s">
        <v>187</v>
      </c>
      <c r="L154" s="13">
        <v>68470.36</v>
      </c>
      <c r="M154" s="13">
        <v>65.63</v>
      </c>
      <c r="N154" s="18">
        <v>7.0000000000000007E-2</v>
      </c>
    </row>
    <row r="155" spans="1:14" x14ac:dyDescent="0.3">
      <c r="A155" s="13" t="s">
        <v>242</v>
      </c>
      <c r="B155" s="13" t="s">
        <v>29</v>
      </c>
      <c r="C155" s="14">
        <v>1435838</v>
      </c>
      <c r="D155" s="14">
        <f t="shared" si="9"/>
        <v>1536346.6600000001</v>
      </c>
      <c r="E155" s="14">
        <f t="shared" si="9"/>
        <v>1643890.9262000003</v>
      </c>
      <c r="F155" s="14">
        <f t="shared" si="9"/>
        <v>1758963.2910340005</v>
      </c>
      <c r="G155" s="13" t="s">
        <v>183</v>
      </c>
      <c r="H155" s="13">
        <v>0</v>
      </c>
      <c r="I155" s="13">
        <v>0</v>
      </c>
      <c r="J155" s="13">
        <v>980669.17</v>
      </c>
      <c r="K155" s="13" t="s">
        <v>187</v>
      </c>
      <c r="L155" s="13">
        <v>455168.83</v>
      </c>
      <c r="M155" s="13">
        <v>68.290000000000006</v>
      </c>
      <c r="N155" s="18">
        <v>7.0000000000000007E-2</v>
      </c>
    </row>
    <row r="156" spans="1:14" x14ac:dyDescent="0.3">
      <c r="A156" s="13" t="s">
        <v>243</v>
      </c>
      <c r="B156" s="13" t="s">
        <v>31</v>
      </c>
      <c r="C156" s="14">
        <v>3761367</v>
      </c>
      <c r="D156" s="14">
        <f t="shared" si="9"/>
        <v>4024662.6900000004</v>
      </c>
      <c r="E156" s="14">
        <f t="shared" si="9"/>
        <v>4306389.0783000011</v>
      </c>
      <c r="F156" s="14">
        <f t="shared" si="9"/>
        <v>4607836.3137810016</v>
      </c>
      <c r="G156" s="13" t="s">
        <v>183</v>
      </c>
      <c r="H156" s="13">
        <v>0</v>
      </c>
      <c r="I156" s="13">
        <v>0</v>
      </c>
      <c r="J156" s="13">
        <v>2479491.96</v>
      </c>
      <c r="K156" s="13" t="s">
        <v>187</v>
      </c>
      <c r="L156" s="13">
        <v>1281875.04</v>
      </c>
      <c r="M156" s="13">
        <v>65.91</v>
      </c>
      <c r="N156" s="18">
        <v>7.0000000000000007E-2</v>
      </c>
    </row>
    <row r="157" spans="1:14" x14ac:dyDescent="0.3">
      <c r="A157" s="13" t="s">
        <v>244</v>
      </c>
      <c r="B157" s="13" t="s">
        <v>33</v>
      </c>
      <c r="C157" s="14">
        <v>99066</v>
      </c>
      <c r="D157" s="14">
        <f t="shared" si="9"/>
        <v>106000.62000000001</v>
      </c>
      <c r="E157" s="14">
        <f t="shared" si="9"/>
        <v>113420.66340000002</v>
      </c>
      <c r="F157" s="14">
        <f t="shared" si="9"/>
        <v>121360.10983800003</v>
      </c>
      <c r="G157" s="13" t="s">
        <v>183</v>
      </c>
      <c r="H157" s="13">
        <v>0</v>
      </c>
      <c r="I157" s="13">
        <v>0</v>
      </c>
      <c r="J157" s="13">
        <v>64098.32</v>
      </c>
      <c r="K157" s="13" t="s">
        <v>187</v>
      </c>
      <c r="L157" s="13">
        <v>34967.68</v>
      </c>
      <c r="M157" s="13">
        <v>64.7</v>
      </c>
      <c r="N157" s="18">
        <v>7.0000000000000007E-2</v>
      </c>
    </row>
    <row r="158" spans="1:14" x14ac:dyDescent="0.3">
      <c r="A158" s="13" t="s">
        <v>245</v>
      </c>
      <c r="B158" s="13" t="s">
        <v>37</v>
      </c>
      <c r="C158" s="14">
        <v>63000</v>
      </c>
      <c r="D158" s="14">
        <f t="shared" ref="D158:F158" si="10">C158*1.07</f>
        <v>67410</v>
      </c>
      <c r="E158" s="14">
        <f t="shared" si="10"/>
        <v>72128.7</v>
      </c>
      <c r="F158" s="14">
        <f t="shared" si="10"/>
        <v>77177.709000000003</v>
      </c>
      <c r="G158" s="13" t="s">
        <v>183</v>
      </c>
      <c r="H158" s="13">
        <v>0</v>
      </c>
      <c r="I158" s="13">
        <v>0</v>
      </c>
      <c r="J158" s="13">
        <v>135796.28</v>
      </c>
      <c r="K158" s="13" t="s">
        <v>187</v>
      </c>
      <c r="L158" s="13">
        <v>-72796.28</v>
      </c>
      <c r="M158" s="13">
        <v>215.54</v>
      </c>
      <c r="N158" s="18">
        <v>7.0000000000000007E-2</v>
      </c>
    </row>
    <row r="159" spans="1:14" x14ac:dyDescent="0.3">
      <c r="A159" s="13" t="s">
        <v>246</v>
      </c>
      <c r="B159" s="13" t="s">
        <v>247</v>
      </c>
      <c r="C159" s="14">
        <v>590000</v>
      </c>
      <c r="D159" s="14">
        <v>590000</v>
      </c>
      <c r="E159" s="14">
        <f>D159*1.07</f>
        <v>631300</v>
      </c>
      <c r="F159" s="14">
        <f>E159*1.07</f>
        <v>675491</v>
      </c>
      <c r="G159" s="13" t="s">
        <v>183</v>
      </c>
      <c r="H159" s="13">
        <v>0</v>
      </c>
      <c r="I159" s="13">
        <v>25224.34</v>
      </c>
      <c r="J159" s="13">
        <v>502194.16</v>
      </c>
      <c r="K159" s="13" t="s">
        <v>187</v>
      </c>
      <c r="L159" s="13">
        <v>87805.84</v>
      </c>
      <c r="M159" s="13">
        <v>85.11</v>
      </c>
    </row>
    <row r="160" spans="1:14" x14ac:dyDescent="0.3">
      <c r="A160" s="13" t="s">
        <v>248</v>
      </c>
      <c r="B160" s="13" t="s">
        <v>249</v>
      </c>
      <c r="C160" s="14">
        <v>2000000</v>
      </c>
      <c r="D160" s="14">
        <v>2000000</v>
      </c>
      <c r="E160" s="14">
        <f>D160*1.054</f>
        <v>2108000</v>
      </c>
      <c r="F160" s="14">
        <f>E160*1.07</f>
        <v>2255560</v>
      </c>
      <c r="G160" s="13" t="s">
        <v>183</v>
      </c>
      <c r="H160" s="13">
        <v>0</v>
      </c>
      <c r="I160" s="13">
        <v>139341.51</v>
      </c>
      <c r="J160" s="13">
        <v>571321.39</v>
      </c>
      <c r="K160" s="13" t="s">
        <v>187</v>
      </c>
      <c r="L160" s="13">
        <v>1428678.61</v>
      </c>
      <c r="M160" s="13">
        <v>28.56</v>
      </c>
      <c r="N160" s="19">
        <v>5.6000000000000001E-2</v>
      </c>
    </row>
    <row r="161" spans="1:14" x14ac:dyDescent="0.3">
      <c r="A161" s="13" t="s">
        <v>250</v>
      </c>
      <c r="B161" s="13" t="s">
        <v>84</v>
      </c>
      <c r="C161" s="14">
        <v>2000</v>
      </c>
      <c r="D161" s="14">
        <v>2000</v>
      </c>
      <c r="E161" s="14">
        <f t="shared" ref="E161:E183" si="11">D161*1.054</f>
        <v>2108</v>
      </c>
      <c r="F161" s="14">
        <f t="shared" ref="F161:F183" si="12">E161*1.07</f>
        <v>2255.56</v>
      </c>
      <c r="G161" s="13" t="s">
        <v>183</v>
      </c>
      <c r="H161" s="13">
        <v>0</v>
      </c>
      <c r="I161" s="13">
        <v>0</v>
      </c>
      <c r="J161" s="13">
        <v>0</v>
      </c>
      <c r="K161" s="13" t="s">
        <v>187</v>
      </c>
      <c r="L161" s="13">
        <v>2000</v>
      </c>
      <c r="M161" s="13">
        <v>0</v>
      </c>
      <c r="N161" s="19">
        <v>5.6000000000000001E-2</v>
      </c>
    </row>
    <row r="162" spans="1:14" x14ac:dyDescent="0.3">
      <c r="A162" s="13" t="s">
        <v>251</v>
      </c>
      <c r="B162" s="13" t="s">
        <v>84</v>
      </c>
      <c r="C162" s="14">
        <v>20000</v>
      </c>
      <c r="D162" s="14">
        <v>20000</v>
      </c>
      <c r="E162" s="14">
        <f t="shared" si="11"/>
        <v>21080</v>
      </c>
      <c r="F162" s="14">
        <f t="shared" si="12"/>
        <v>22555.600000000002</v>
      </c>
      <c r="G162" s="13" t="s">
        <v>183</v>
      </c>
      <c r="H162" s="13">
        <v>0</v>
      </c>
      <c r="I162" s="13">
        <v>11300</v>
      </c>
      <c r="J162" s="13">
        <v>341.74</v>
      </c>
      <c r="K162" s="13" t="s">
        <v>187</v>
      </c>
      <c r="L162" s="13">
        <v>19658.259999999998</v>
      </c>
      <c r="M162" s="13">
        <v>1.7</v>
      </c>
      <c r="N162" s="19">
        <v>5.6000000000000001E-2</v>
      </c>
    </row>
    <row r="163" spans="1:14" x14ac:dyDescent="0.3">
      <c r="A163" s="13" t="s">
        <v>252</v>
      </c>
      <c r="B163" s="13" t="s">
        <v>253</v>
      </c>
      <c r="C163" s="14">
        <v>3502305</v>
      </c>
      <c r="D163" s="14">
        <v>3502305</v>
      </c>
      <c r="E163" s="14">
        <f t="shared" si="11"/>
        <v>3691429.47</v>
      </c>
      <c r="F163" s="14">
        <f t="shared" si="12"/>
        <v>3949829.5329000005</v>
      </c>
      <c r="G163" s="13" t="s">
        <v>183</v>
      </c>
      <c r="H163" s="13">
        <v>0</v>
      </c>
      <c r="I163" s="13">
        <v>12685.38</v>
      </c>
      <c r="J163" s="13">
        <v>1064371.68</v>
      </c>
      <c r="K163" s="13" t="s">
        <v>187</v>
      </c>
      <c r="L163" s="13">
        <v>2437933.3199999998</v>
      </c>
      <c r="M163" s="13">
        <v>30.39</v>
      </c>
      <c r="N163" s="19">
        <v>5.6000000000000001E-2</v>
      </c>
    </row>
    <row r="164" spans="1:14" x14ac:dyDescent="0.3">
      <c r="A164" s="13" t="s">
        <v>254</v>
      </c>
      <c r="B164" s="13" t="s">
        <v>255</v>
      </c>
      <c r="C164" s="14">
        <v>3100000</v>
      </c>
      <c r="D164" s="14">
        <v>2700000</v>
      </c>
      <c r="E164" s="14">
        <f t="shared" si="11"/>
        <v>2845800</v>
      </c>
      <c r="F164" s="14">
        <f t="shared" si="12"/>
        <v>3045006</v>
      </c>
      <c r="G164" s="13" t="s">
        <v>183</v>
      </c>
      <c r="H164" s="13">
        <v>0</v>
      </c>
      <c r="I164" s="13">
        <v>1429.7</v>
      </c>
      <c r="J164" s="13">
        <v>3077218.65</v>
      </c>
      <c r="K164" s="13" t="s">
        <v>187</v>
      </c>
      <c r="L164" s="13">
        <v>22781.35</v>
      </c>
      <c r="M164" s="13">
        <v>99.26</v>
      </c>
      <c r="N164" s="19">
        <v>5.6000000000000001E-2</v>
      </c>
    </row>
    <row r="165" spans="1:14" x14ac:dyDescent="0.3">
      <c r="A165" s="13" t="s">
        <v>256</v>
      </c>
      <c r="B165" s="13" t="s">
        <v>257</v>
      </c>
      <c r="C165" s="14">
        <v>2268800</v>
      </c>
      <c r="D165" s="14">
        <v>3100000</v>
      </c>
      <c r="E165" s="14">
        <f t="shared" si="11"/>
        <v>3267400</v>
      </c>
      <c r="F165" s="14">
        <f t="shared" si="12"/>
        <v>3496118</v>
      </c>
      <c r="G165" s="13" t="s">
        <v>183</v>
      </c>
      <c r="H165" s="13">
        <v>0</v>
      </c>
      <c r="I165" s="13">
        <v>0</v>
      </c>
      <c r="J165" s="13">
        <v>1201660</v>
      </c>
      <c r="K165" s="13" t="s">
        <v>187</v>
      </c>
      <c r="L165" s="13">
        <v>1067140</v>
      </c>
      <c r="M165" s="13">
        <v>52.96</v>
      </c>
      <c r="N165" s="19">
        <v>5.6000000000000001E-2</v>
      </c>
    </row>
    <row r="166" spans="1:14" x14ac:dyDescent="0.3">
      <c r="A166" s="13" t="s">
        <v>258</v>
      </c>
      <c r="B166" s="13" t="s">
        <v>259</v>
      </c>
      <c r="C166" s="14">
        <v>2000000</v>
      </c>
      <c r="D166" s="14">
        <v>2000000</v>
      </c>
      <c r="E166" s="14">
        <f t="shared" si="11"/>
        <v>2108000</v>
      </c>
      <c r="F166" s="14">
        <f t="shared" si="12"/>
        <v>2255560</v>
      </c>
      <c r="G166" s="13" t="s">
        <v>183</v>
      </c>
      <c r="H166" s="13">
        <v>0</v>
      </c>
      <c r="I166" s="13">
        <v>25000</v>
      </c>
      <c r="J166" s="13">
        <v>1917092.24</v>
      </c>
      <c r="K166" s="13" t="s">
        <v>187</v>
      </c>
      <c r="L166" s="13">
        <v>82907.759999999995</v>
      </c>
      <c r="M166" s="13">
        <v>95.85</v>
      </c>
      <c r="N166" s="19">
        <v>5.6000000000000001E-2</v>
      </c>
    </row>
    <row r="167" spans="1:14" x14ac:dyDescent="0.3">
      <c r="A167" s="13" t="s">
        <v>260</v>
      </c>
      <c r="B167" s="13" t="s">
        <v>261</v>
      </c>
      <c r="C167" s="14">
        <v>950000</v>
      </c>
      <c r="D167" s="14">
        <v>900000</v>
      </c>
      <c r="E167" s="14">
        <f t="shared" si="11"/>
        <v>948600</v>
      </c>
      <c r="F167" s="14">
        <f t="shared" si="12"/>
        <v>1015002.0000000001</v>
      </c>
      <c r="G167" s="13" t="s">
        <v>183</v>
      </c>
      <c r="H167" s="13">
        <v>0</v>
      </c>
      <c r="I167" s="13">
        <v>0</v>
      </c>
      <c r="J167" s="13">
        <v>22500</v>
      </c>
      <c r="K167" s="13" t="s">
        <v>187</v>
      </c>
      <c r="L167" s="13">
        <v>927500</v>
      </c>
      <c r="M167" s="13">
        <v>2.36</v>
      </c>
      <c r="N167" s="19">
        <v>5.6000000000000001E-2</v>
      </c>
    </row>
    <row r="168" spans="1:14" x14ac:dyDescent="0.3">
      <c r="A168" s="13" t="s">
        <v>262</v>
      </c>
      <c r="B168" s="13" t="s">
        <v>263</v>
      </c>
      <c r="C168" s="14">
        <v>714000</v>
      </c>
      <c r="D168" s="14">
        <f>C168*1.052</f>
        <v>751128</v>
      </c>
      <c r="E168" s="14">
        <f t="shared" si="11"/>
        <v>791688.91200000001</v>
      </c>
      <c r="F168" s="14">
        <f t="shared" si="12"/>
        <v>847107.13584000012</v>
      </c>
      <c r="G168" s="13" t="s">
        <v>183</v>
      </c>
      <c r="H168" s="13">
        <v>0</v>
      </c>
      <c r="I168" s="13">
        <v>118370.1</v>
      </c>
      <c r="J168" s="13">
        <v>323331.27</v>
      </c>
      <c r="K168" s="13" t="s">
        <v>187</v>
      </c>
      <c r="L168" s="13">
        <v>390668.73</v>
      </c>
      <c r="M168" s="13">
        <v>45.28</v>
      </c>
      <c r="N168" s="19">
        <v>5.6000000000000001E-2</v>
      </c>
    </row>
    <row r="169" spans="1:14" x14ac:dyDescent="0.3">
      <c r="A169" s="13" t="s">
        <v>264</v>
      </c>
      <c r="B169" s="13" t="s">
        <v>156</v>
      </c>
      <c r="C169" s="14">
        <v>410000</v>
      </c>
      <c r="D169" s="14">
        <v>410000</v>
      </c>
      <c r="E169" s="14">
        <f t="shared" si="11"/>
        <v>432140</v>
      </c>
      <c r="F169" s="14">
        <f t="shared" si="12"/>
        <v>462389.80000000005</v>
      </c>
      <c r="G169" s="13" t="s">
        <v>183</v>
      </c>
      <c r="H169" s="13">
        <v>0</v>
      </c>
      <c r="I169" s="13">
        <v>18317.29</v>
      </c>
      <c r="J169" s="13">
        <v>78475.899999999994</v>
      </c>
      <c r="K169" s="13" t="s">
        <v>187</v>
      </c>
      <c r="L169" s="13">
        <v>331524.09999999998</v>
      </c>
      <c r="M169" s="13">
        <v>19.14</v>
      </c>
      <c r="N169" s="19">
        <v>5.6000000000000001E-2</v>
      </c>
    </row>
    <row r="170" spans="1:14" x14ac:dyDescent="0.3">
      <c r="A170" s="13" t="s">
        <v>265</v>
      </c>
      <c r="B170" s="13" t="s">
        <v>266</v>
      </c>
      <c r="C170" s="14">
        <v>306000</v>
      </c>
      <c r="D170" s="14">
        <v>306000</v>
      </c>
      <c r="E170" s="14">
        <f t="shared" si="11"/>
        <v>322524</v>
      </c>
      <c r="F170" s="14">
        <f t="shared" si="12"/>
        <v>345100.68</v>
      </c>
      <c r="G170" s="13" t="s">
        <v>183</v>
      </c>
      <c r="H170" s="13">
        <v>0</v>
      </c>
      <c r="I170" s="13">
        <v>0</v>
      </c>
      <c r="J170" s="13">
        <v>181117.51</v>
      </c>
      <c r="K170" s="13" t="s">
        <v>187</v>
      </c>
      <c r="L170" s="13">
        <v>124882.49</v>
      </c>
      <c r="M170" s="13">
        <v>59.18</v>
      </c>
      <c r="N170" s="19">
        <v>5.6000000000000001E-2</v>
      </c>
    </row>
    <row r="171" spans="1:14" x14ac:dyDescent="0.3">
      <c r="A171" s="13" t="s">
        <v>267</v>
      </c>
      <c r="B171" s="13" t="s">
        <v>101</v>
      </c>
      <c r="C171" s="14">
        <v>300168</v>
      </c>
      <c r="D171" s="14">
        <f>C171*1.052</f>
        <v>315776.73600000003</v>
      </c>
      <c r="E171" s="14">
        <f t="shared" si="11"/>
        <v>332828.67974400002</v>
      </c>
      <c r="F171" s="14">
        <f t="shared" si="12"/>
        <v>356126.68732608005</v>
      </c>
      <c r="G171" s="13" t="s">
        <v>183</v>
      </c>
      <c r="H171" s="13">
        <v>0</v>
      </c>
      <c r="I171" s="13">
        <v>0</v>
      </c>
      <c r="J171" s="13">
        <v>195644.12</v>
      </c>
      <c r="K171" s="13" t="s">
        <v>187</v>
      </c>
      <c r="L171" s="13">
        <v>104523.88</v>
      </c>
      <c r="M171" s="13">
        <v>65.17</v>
      </c>
      <c r="N171" s="19">
        <v>5.6000000000000001E-2</v>
      </c>
    </row>
    <row r="172" spans="1:14" x14ac:dyDescent="0.3">
      <c r="A172" s="13" t="s">
        <v>268</v>
      </c>
      <c r="B172" s="13" t="s">
        <v>164</v>
      </c>
      <c r="C172" s="14">
        <v>48000</v>
      </c>
      <c r="D172" s="14">
        <v>48000</v>
      </c>
      <c r="E172" s="14">
        <f t="shared" si="11"/>
        <v>50592</v>
      </c>
      <c r="F172" s="14">
        <f t="shared" si="12"/>
        <v>54133.440000000002</v>
      </c>
      <c r="G172" s="13" t="s">
        <v>183</v>
      </c>
      <c r="H172" s="13">
        <v>0</v>
      </c>
      <c r="I172" s="13">
        <v>15810</v>
      </c>
      <c r="J172" s="13">
        <v>30138.6</v>
      </c>
      <c r="K172" s="13" t="s">
        <v>187</v>
      </c>
      <c r="L172" s="13">
        <v>17861.400000000001</v>
      </c>
      <c r="M172" s="13">
        <v>62.78</v>
      </c>
      <c r="N172" s="19">
        <v>5.6000000000000001E-2</v>
      </c>
    </row>
    <row r="173" spans="1:14" x14ac:dyDescent="0.3">
      <c r="A173" s="13" t="s">
        <v>269</v>
      </c>
      <c r="B173" s="13" t="s">
        <v>270</v>
      </c>
      <c r="C173" s="14">
        <v>1836000</v>
      </c>
      <c r="D173" s="14">
        <v>1836000</v>
      </c>
      <c r="E173" s="14">
        <f t="shared" si="11"/>
        <v>1935144</v>
      </c>
      <c r="F173" s="14">
        <f t="shared" si="12"/>
        <v>2070604.08</v>
      </c>
      <c r="G173" s="13" t="s">
        <v>183</v>
      </c>
      <c r="H173" s="13">
        <v>0</v>
      </c>
      <c r="I173" s="13">
        <v>5160</v>
      </c>
      <c r="J173" s="13">
        <v>749790.93</v>
      </c>
      <c r="K173" s="13" t="s">
        <v>187</v>
      </c>
      <c r="L173" s="13">
        <v>1086209.07</v>
      </c>
      <c r="M173" s="13">
        <v>40.83</v>
      </c>
      <c r="N173" s="19">
        <v>5.6000000000000001E-2</v>
      </c>
    </row>
    <row r="174" spans="1:14" x14ac:dyDescent="0.3">
      <c r="A174" s="13" t="s">
        <v>271</v>
      </c>
      <c r="B174" s="13" t="s">
        <v>272</v>
      </c>
      <c r="C174" s="14">
        <v>500000</v>
      </c>
      <c r="D174" s="14">
        <v>500000</v>
      </c>
      <c r="E174" s="14">
        <f t="shared" si="11"/>
        <v>527000</v>
      </c>
      <c r="F174" s="14">
        <f t="shared" si="12"/>
        <v>563890</v>
      </c>
      <c r="G174" s="13" t="s">
        <v>183</v>
      </c>
      <c r="H174" s="13">
        <v>0</v>
      </c>
      <c r="I174" s="13">
        <v>0</v>
      </c>
      <c r="J174" s="13">
        <v>0</v>
      </c>
      <c r="K174" s="13" t="s">
        <v>187</v>
      </c>
      <c r="L174" s="13">
        <v>500000</v>
      </c>
      <c r="M174" s="13">
        <v>0</v>
      </c>
      <c r="N174" s="19">
        <v>5.6000000000000001E-2</v>
      </c>
    </row>
    <row r="175" spans="1:14" x14ac:dyDescent="0.3">
      <c r="A175" s="13" t="s">
        <v>273</v>
      </c>
      <c r="B175" s="13" t="s">
        <v>274</v>
      </c>
      <c r="C175" s="14">
        <v>600000</v>
      </c>
      <c r="D175" s="14">
        <v>0</v>
      </c>
      <c r="E175" s="14">
        <f t="shared" si="11"/>
        <v>0</v>
      </c>
      <c r="F175" s="14">
        <f t="shared" si="12"/>
        <v>0</v>
      </c>
      <c r="G175" s="13" t="s">
        <v>183</v>
      </c>
      <c r="H175" s="13">
        <v>0</v>
      </c>
      <c r="I175" s="13">
        <v>0</v>
      </c>
      <c r="J175" s="13">
        <v>288001.88</v>
      </c>
      <c r="K175" s="13" t="s">
        <v>187</v>
      </c>
      <c r="L175" s="13">
        <v>311998.12</v>
      </c>
      <c r="M175" s="13">
        <v>48</v>
      </c>
      <c r="N175" s="19">
        <v>5.6000000000000001E-2</v>
      </c>
    </row>
    <row r="176" spans="1:14" x14ac:dyDescent="0.3">
      <c r="A176" s="13" t="s">
        <v>275</v>
      </c>
      <c r="B176" s="13" t="s">
        <v>276</v>
      </c>
      <c r="C176" s="14">
        <v>2404931</v>
      </c>
      <c r="D176" s="14">
        <f>C176*1.052</f>
        <v>2529987.412</v>
      </c>
      <c r="E176" s="14">
        <f t="shared" si="11"/>
        <v>2666606.7322480003</v>
      </c>
      <c r="F176" s="14">
        <f t="shared" si="12"/>
        <v>2853269.2035053605</v>
      </c>
      <c r="G176" s="13" t="s">
        <v>183</v>
      </c>
      <c r="H176" s="13">
        <v>0</v>
      </c>
      <c r="I176" s="13">
        <v>0</v>
      </c>
      <c r="J176" s="13">
        <v>897000.38</v>
      </c>
      <c r="K176" s="13" t="s">
        <v>187</v>
      </c>
      <c r="L176" s="13">
        <v>1507930.62</v>
      </c>
      <c r="M176" s="13">
        <v>37.29</v>
      </c>
      <c r="N176" s="19">
        <v>5.6000000000000001E-2</v>
      </c>
    </row>
    <row r="177" spans="1:14" x14ac:dyDescent="0.3">
      <c r="A177" s="13" t="s">
        <v>277</v>
      </c>
      <c r="B177" s="13" t="s">
        <v>278</v>
      </c>
      <c r="C177" s="14">
        <v>54667844</v>
      </c>
      <c r="D177" s="14">
        <f>50729243.26+1293488.55</f>
        <v>52022731.809999995</v>
      </c>
      <c r="E177" s="14">
        <f t="shared" si="11"/>
        <v>54831959.327739999</v>
      </c>
      <c r="F177" s="14">
        <f t="shared" si="12"/>
        <v>58670196.480681799</v>
      </c>
      <c r="G177" s="13" t="s">
        <v>183</v>
      </c>
      <c r="H177" s="13">
        <v>0</v>
      </c>
      <c r="I177" s="13">
        <v>0</v>
      </c>
      <c r="J177" s="13">
        <v>0</v>
      </c>
      <c r="K177" s="13" t="s">
        <v>187</v>
      </c>
      <c r="L177" s="13">
        <v>54667844</v>
      </c>
      <c r="M177" s="13">
        <v>0</v>
      </c>
      <c r="N177" s="19">
        <v>5.6000000000000001E-2</v>
      </c>
    </row>
    <row r="178" spans="1:14" x14ac:dyDescent="0.3">
      <c r="A178" s="13" t="s">
        <v>279</v>
      </c>
      <c r="B178" s="13" t="s">
        <v>280</v>
      </c>
      <c r="C178" s="14">
        <v>217754</v>
      </c>
      <c r="D178" s="14">
        <f>C178*1.052</f>
        <v>229077.20800000001</v>
      </c>
      <c r="E178" s="14">
        <f t="shared" si="11"/>
        <v>241447.37723200003</v>
      </c>
      <c r="F178" s="14">
        <f t="shared" si="12"/>
        <v>258348.69363824005</v>
      </c>
      <c r="G178" s="13" t="s">
        <v>183</v>
      </c>
      <c r="H178" s="13">
        <v>0</v>
      </c>
      <c r="I178" s="13">
        <v>0</v>
      </c>
      <c r="J178" s="13">
        <v>0</v>
      </c>
      <c r="K178" s="13" t="s">
        <v>187</v>
      </c>
      <c r="L178" s="13">
        <v>217754</v>
      </c>
      <c r="M178" s="13">
        <v>0</v>
      </c>
      <c r="N178" s="19">
        <v>5.6000000000000001E-2</v>
      </c>
    </row>
    <row r="179" spans="1:14" x14ac:dyDescent="0.3">
      <c r="A179" s="13" t="s">
        <v>281</v>
      </c>
      <c r="B179" s="13" t="s">
        <v>282</v>
      </c>
      <c r="C179" s="14">
        <v>2683989</v>
      </c>
      <c r="D179" s="14">
        <f>C179*1.052</f>
        <v>2823556.4280000003</v>
      </c>
      <c r="E179" s="14">
        <f t="shared" si="11"/>
        <v>2976028.4751120005</v>
      </c>
      <c r="F179" s="14">
        <f t="shared" si="12"/>
        <v>3184350.4683698406</v>
      </c>
      <c r="G179" s="13" t="s">
        <v>183</v>
      </c>
      <c r="H179" s="13">
        <v>0</v>
      </c>
      <c r="I179" s="13">
        <v>0</v>
      </c>
      <c r="J179" s="13">
        <v>2150576.64</v>
      </c>
      <c r="K179" s="13" t="s">
        <v>187</v>
      </c>
      <c r="L179" s="13">
        <v>533412.36</v>
      </c>
      <c r="M179" s="13">
        <v>80.12</v>
      </c>
      <c r="N179" s="19">
        <v>5.6000000000000001E-2</v>
      </c>
    </row>
    <row r="180" spans="1:14" x14ac:dyDescent="0.3">
      <c r="A180" s="13" t="s">
        <v>283</v>
      </c>
      <c r="B180" s="13" t="s">
        <v>284</v>
      </c>
      <c r="C180" s="14">
        <v>1613083</v>
      </c>
      <c r="D180" s="14">
        <f>C180*1.052</f>
        <v>1696963.3160000001</v>
      </c>
      <c r="E180" s="14">
        <f t="shared" si="11"/>
        <v>1788599.3350640002</v>
      </c>
      <c r="F180" s="14">
        <f t="shared" si="12"/>
        <v>1913801.2885184803</v>
      </c>
      <c r="G180" s="13" t="s">
        <v>183</v>
      </c>
      <c r="H180" s="13">
        <v>0</v>
      </c>
      <c r="I180" s="13">
        <v>0</v>
      </c>
      <c r="J180" s="13">
        <v>0</v>
      </c>
      <c r="K180" s="13" t="s">
        <v>187</v>
      </c>
      <c r="L180" s="13">
        <v>1613083</v>
      </c>
      <c r="M180" s="13">
        <v>0</v>
      </c>
      <c r="N180" s="19">
        <v>5.6000000000000001E-2</v>
      </c>
    </row>
    <row r="181" spans="1:14" hidden="1" x14ac:dyDescent="0.3">
      <c r="A181" s="13" t="s">
        <v>285</v>
      </c>
      <c r="B181" s="13" t="s">
        <v>286</v>
      </c>
      <c r="C181" s="14">
        <v>-335780</v>
      </c>
      <c r="D181" s="14">
        <f t="shared" ref="D181" si="13">C181*1.056</f>
        <v>-354583.68</v>
      </c>
      <c r="E181" s="14">
        <f t="shared" si="11"/>
        <v>-373731.19871999999</v>
      </c>
      <c r="F181" s="14">
        <f t="shared" si="12"/>
        <v>-399892.38263040001</v>
      </c>
      <c r="G181" s="13" t="s">
        <v>183</v>
      </c>
      <c r="H181" s="13">
        <v>0</v>
      </c>
      <c r="I181" s="13">
        <v>0</v>
      </c>
      <c r="J181" s="13">
        <v>-161132.5</v>
      </c>
      <c r="K181" s="13" t="s">
        <v>187</v>
      </c>
      <c r="L181" s="13">
        <v>-174647.5</v>
      </c>
      <c r="M181" s="13">
        <v>47.98</v>
      </c>
      <c r="N181" s="19">
        <v>5.6000000000000001E-2</v>
      </c>
    </row>
    <row r="182" spans="1:14" x14ac:dyDescent="0.3">
      <c r="A182" s="13" t="s">
        <v>287</v>
      </c>
      <c r="B182" s="13" t="s">
        <v>288</v>
      </c>
      <c r="C182" s="14">
        <v>3315000</v>
      </c>
      <c r="D182" s="14">
        <f>C182*1.052+49891.7</f>
        <v>3537271.7</v>
      </c>
      <c r="E182" s="14">
        <f t="shared" si="11"/>
        <v>3728284.3718000003</v>
      </c>
      <c r="F182" s="14">
        <f t="shared" si="12"/>
        <v>3989264.2778260005</v>
      </c>
      <c r="G182" s="13" t="s">
        <v>183</v>
      </c>
      <c r="H182" s="13">
        <v>0</v>
      </c>
      <c r="I182" s="13">
        <v>0</v>
      </c>
      <c r="J182" s="13">
        <v>0</v>
      </c>
      <c r="K182" s="13" t="s">
        <v>187</v>
      </c>
      <c r="L182" s="13">
        <v>3315000</v>
      </c>
      <c r="M182" s="13">
        <v>0</v>
      </c>
      <c r="N182" s="19">
        <v>5.6000000000000001E-2</v>
      </c>
    </row>
    <row r="183" spans="1:14" x14ac:dyDescent="0.3">
      <c r="A183" s="13" t="s">
        <v>289</v>
      </c>
      <c r="B183" s="13" t="s">
        <v>288</v>
      </c>
      <c r="C183" s="14">
        <v>1224000</v>
      </c>
      <c r="D183" s="14">
        <f>C183*1.052</f>
        <v>1287648</v>
      </c>
      <c r="E183" s="14">
        <f t="shared" si="11"/>
        <v>1357180.9920000001</v>
      </c>
      <c r="F183" s="14">
        <f t="shared" si="12"/>
        <v>1452183.6614400002</v>
      </c>
      <c r="G183" s="13" t="s">
        <v>183</v>
      </c>
      <c r="H183" s="13">
        <v>0</v>
      </c>
      <c r="I183" s="13">
        <v>0</v>
      </c>
      <c r="J183" s="13">
        <v>0</v>
      </c>
      <c r="K183" s="13" t="s">
        <v>187</v>
      </c>
      <c r="L183" s="13">
        <v>1224000</v>
      </c>
      <c r="M183" s="13">
        <v>0</v>
      </c>
      <c r="N183" s="19">
        <v>5.6000000000000001E-2</v>
      </c>
    </row>
    <row r="184" spans="1:14" ht="15" thickBot="1" x14ac:dyDescent="0.35">
      <c r="C184" s="15">
        <f>SUM(C143:C183)</f>
        <v>119509695</v>
      </c>
      <c r="D184" s="15">
        <f>SUM(D143:D183)</f>
        <v>119745475</v>
      </c>
      <c r="E184" s="15">
        <f>SUM(E143:E183)</f>
        <v>126813036.45912001</v>
      </c>
      <c r="F184" s="15">
        <f>SUM(F143:F183)</f>
        <v>135689949.01125842</v>
      </c>
    </row>
    <row r="185" spans="1:14" x14ac:dyDescent="0.3">
      <c r="A185" s="16" t="s">
        <v>516</v>
      </c>
    </row>
    <row r="186" spans="1:14" x14ac:dyDescent="0.3">
      <c r="A186" s="13" t="s">
        <v>290</v>
      </c>
      <c r="B186" s="13" t="s">
        <v>84</v>
      </c>
      <c r="C186" s="14">
        <v>2000</v>
      </c>
      <c r="D186" s="14">
        <v>2000</v>
      </c>
      <c r="E186" s="14">
        <f>D186*1.054</f>
        <v>2108</v>
      </c>
      <c r="F186" s="14">
        <f t="shared" ref="E186:F200" si="14">E186*1.054</f>
        <v>2221.8319999999999</v>
      </c>
      <c r="G186" s="13" t="s">
        <v>183</v>
      </c>
      <c r="H186" s="13">
        <v>0</v>
      </c>
      <c r="I186" s="13">
        <v>0</v>
      </c>
      <c r="J186" s="13">
        <v>627.20000000000005</v>
      </c>
      <c r="K186" s="13" t="s">
        <v>187</v>
      </c>
      <c r="L186" s="13">
        <v>1372.8</v>
      </c>
      <c r="M186" s="13">
        <v>31.36</v>
      </c>
      <c r="N186" s="19">
        <v>5.6000000000000001E-2</v>
      </c>
    </row>
    <row r="187" spans="1:14" x14ac:dyDescent="0.3">
      <c r="A187" s="13" t="s">
        <v>291</v>
      </c>
      <c r="B187" s="13" t="s">
        <v>292</v>
      </c>
      <c r="C187" s="14">
        <v>19424125</v>
      </c>
      <c r="D187" s="14">
        <v>12000000</v>
      </c>
      <c r="E187" s="14">
        <v>12000000</v>
      </c>
      <c r="F187" s="14">
        <v>12000000</v>
      </c>
      <c r="G187" s="13" t="s">
        <v>183</v>
      </c>
      <c r="H187" s="13">
        <v>0</v>
      </c>
      <c r="I187" s="13">
        <v>0</v>
      </c>
      <c r="J187" s="13">
        <v>0</v>
      </c>
      <c r="K187" s="13" t="s">
        <v>187</v>
      </c>
      <c r="L187" s="13">
        <v>19424125</v>
      </c>
      <c r="M187" s="13">
        <v>0</v>
      </c>
      <c r="N187" s="19">
        <v>5.6000000000000001E-2</v>
      </c>
    </row>
    <row r="188" spans="1:14" x14ac:dyDescent="0.3">
      <c r="A188" s="13" t="s">
        <v>293</v>
      </c>
      <c r="B188" s="13" t="s">
        <v>292</v>
      </c>
      <c r="C188" s="14">
        <v>20476512</v>
      </c>
      <c r="D188" s="14">
        <v>12000000</v>
      </c>
      <c r="E188" s="14">
        <v>12000000</v>
      </c>
      <c r="F188" s="14">
        <v>12000000</v>
      </c>
      <c r="G188" s="13" t="s">
        <v>183</v>
      </c>
      <c r="H188" s="13">
        <v>0</v>
      </c>
      <c r="I188" s="13">
        <v>0</v>
      </c>
      <c r="J188" s="13">
        <v>0</v>
      </c>
      <c r="K188" s="13" t="s">
        <v>187</v>
      </c>
      <c r="L188" s="13">
        <v>20476512</v>
      </c>
      <c r="M188" s="13">
        <v>0</v>
      </c>
      <c r="N188" s="19">
        <v>5.6000000000000001E-2</v>
      </c>
    </row>
    <row r="189" spans="1:14" x14ac:dyDescent="0.3">
      <c r="A189" s="13" t="s">
        <v>294</v>
      </c>
      <c r="B189" s="13" t="s">
        <v>292</v>
      </c>
      <c r="C189" s="14">
        <v>11894616</v>
      </c>
      <c r="D189" s="14">
        <v>10000000</v>
      </c>
      <c r="E189" s="14">
        <v>14384507.32</v>
      </c>
      <c r="G189" s="13" t="s">
        <v>183</v>
      </c>
      <c r="H189" s="13">
        <v>0</v>
      </c>
      <c r="I189" s="13">
        <v>0</v>
      </c>
      <c r="J189" s="13">
        <v>114422.03</v>
      </c>
      <c r="K189" s="13" t="s">
        <v>187</v>
      </c>
      <c r="L189" s="13">
        <v>11780193.970000001</v>
      </c>
      <c r="M189" s="13">
        <v>0.96</v>
      </c>
      <c r="N189" s="19">
        <v>5.6000000000000001E-2</v>
      </c>
    </row>
    <row r="190" spans="1:14" x14ac:dyDescent="0.3">
      <c r="A190" s="13" t="s">
        <v>295</v>
      </c>
      <c r="B190" s="13" t="s">
        <v>292</v>
      </c>
      <c r="C190" s="14">
        <v>29524641</v>
      </c>
      <c r="D190" s="14">
        <v>12000000</v>
      </c>
      <c r="E190" s="14">
        <v>12000000</v>
      </c>
      <c r="F190" s="14">
        <v>12000000</v>
      </c>
      <c r="G190" s="13" t="s">
        <v>183</v>
      </c>
      <c r="H190" s="13">
        <v>0</v>
      </c>
      <c r="I190" s="13">
        <v>0</v>
      </c>
      <c r="J190" s="13">
        <v>664416.75</v>
      </c>
      <c r="K190" s="13" t="s">
        <v>187</v>
      </c>
      <c r="L190" s="13">
        <v>28860224.25</v>
      </c>
      <c r="M190" s="13">
        <v>2.25</v>
      </c>
      <c r="N190" s="19">
        <v>5.6000000000000001E-2</v>
      </c>
    </row>
    <row r="191" spans="1:14" x14ac:dyDescent="0.3">
      <c r="A191" s="13" t="s">
        <v>296</v>
      </c>
      <c r="B191" s="13" t="s">
        <v>292</v>
      </c>
      <c r="C191" s="14">
        <v>33807437</v>
      </c>
      <c r="D191" s="14">
        <v>12000000</v>
      </c>
      <c r="E191" s="14">
        <v>12000000</v>
      </c>
      <c r="F191" s="14">
        <v>12000000</v>
      </c>
      <c r="G191" s="13" t="s">
        <v>183</v>
      </c>
      <c r="H191" s="13">
        <v>0</v>
      </c>
      <c r="I191" s="13">
        <v>0</v>
      </c>
      <c r="J191" s="13">
        <v>889124.52</v>
      </c>
      <c r="K191" s="13" t="s">
        <v>187</v>
      </c>
      <c r="L191" s="13">
        <v>32918312.48</v>
      </c>
      <c r="M191" s="13">
        <v>2.62</v>
      </c>
      <c r="N191" s="19">
        <v>5.6000000000000001E-2</v>
      </c>
    </row>
    <row r="192" spans="1:14" x14ac:dyDescent="0.3">
      <c r="A192" s="13" t="s">
        <v>297</v>
      </c>
      <c r="B192" s="13" t="s">
        <v>298</v>
      </c>
      <c r="C192" s="14">
        <v>2291000</v>
      </c>
      <c r="D192" s="14">
        <f>C192*1.052</f>
        <v>2410132</v>
      </c>
      <c r="E192" s="14">
        <f t="shared" si="14"/>
        <v>2540279.128</v>
      </c>
      <c r="F192" s="14">
        <f t="shared" si="14"/>
        <v>2677454.2009120001</v>
      </c>
      <c r="G192" s="13" t="s">
        <v>183</v>
      </c>
      <c r="H192" s="13">
        <v>0</v>
      </c>
      <c r="I192" s="13">
        <v>0</v>
      </c>
      <c r="J192" s="13">
        <v>0</v>
      </c>
      <c r="K192" s="13" t="s">
        <v>187</v>
      </c>
      <c r="L192" s="13">
        <v>2291000</v>
      </c>
      <c r="M192" s="13">
        <v>0</v>
      </c>
      <c r="N192" s="19">
        <v>5.6000000000000001E-2</v>
      </c>
    </row>
    <row r="193" spans="1:14" x14ac:dyDescent="0.3">
      <c r="A193" s="13" t="s">
        <v>299</v>
      </c>
      <c r="B193" s="13" t="s">
        <v>270</v>
      </c>
      <c r="C193" s="14">
        <v>300000</v>
      </c>
      <c r="D193" s="14">
        <f>C193*1.052</f>
        <v>315600</v>
      </c>
      <c r="E193" s="14">
        <f t="shared" si="14"/>
        <v>332642.40000000002</v>
      </c>
      <c r="F193" s="14">
        <f t="shared" si="14"/>
        <v>350605.08960000006</v>
      </c>
      <c r="G193" s="13" t="s">
        <v>183</v>
      </c>
      <c r="H193" s="13">
        <v>0</v>
      </c>
      <c r="I193" s="13">
        <v>0</v>
      </c>
      <c r="J193" s="13">
        <v>255790</v>
      </c>
      <c r="K193" s="13" t="s">
        <v>187</v>
      </c>
      <c r="L193" s="13">
        <v>44210</v>
      </c>
      <c r="M193" s="13">
        <v>85.26</v>
      </c>
      <c r="N193" s="19">
        <v>5.6000000000000001E-2</v>
      </c>
    </row>
    <row r="194" spans="1:14" x14ac:dyDescent="0.3">
      <c r="A194" s="13" t="s">
        <v>300</v>
      </c>
      <c r="B194" s="13" t="s">
        <v>178</v>
      </c>
      <c r="C194" s="14">
        <v>1000000</v>
      </c>
      <c r="D194" s="14">
        <f>C194*1.052</f>
        <v>1052000</v>
      </c>
      <c r="E194" s="14">
        <f t="shared" si="14"/>
        <v>1108808</v>
      </c>
      <c r="F194" s="14">
        <f t="shared" si="14"/>
        <v>1168683.632</v>
      </c>
      <c r="G194" s="13" t="s">
        <v>183</v>
      </c>
      <c r="H194" s="13">
        <v>0</v>
      </c>
      <c r="I194" s="13">
        <v>0</v>
      </c>
      <c r="J194" s="13">
        <v>0</v>
      </c>
      <c r="K194" s="13" t="s">
        <v>187</v>
      </c>
      <c r="L194" s="13">
        <v>1000000</v>
      </c>
      <c r="M194" s="13">
        <v>0</v>
      </c>
      <c r="N194" s="19">
        <v>5.6000000000000001E-2</v>
      </c>
    </row>
    <row r="195" spans="1:14" x14ac:dyDescent="0.3">
      <c r="A195" s="13" t="s">
        <v>301</v>
      </c>
      <c r="B195" s="13" t="s">
        <v>193</v>
      </c>
      <c r="C195" s="14">
        <v>10000</v>
      </c>
      <c r="D195" s="14">
        <f>C195*1.052</f>
        <v>10520</v>
      </c>
      <c r="E195" s="14">
        <f t="shared" si="14"/>
        <v>11088.08</v>
      </c>
      <c r="F195" s="14">
        <f t="shared" si="14"/>
        <v>11686.83632</v>
      </c>
      <c r="G195" s="13" t="s">
        <v>183</v>
      </c>
      <c r="H195" s="13">
        <v>0</v>
      </c>
      <c r="I195" s="13">
        <v>0</v>
      </c>
      <c r="J195" s="13">
        <v>0</v>
      </c>
      <c r="K195" s="13" t="s">
        <v>187</v>
      </c>
      <c r="L195" s="13">
        <v>10000</v>
      </c>
      <c r="M195" s="13">
        <v>0</v>
      </c>
      <c r="N195" s="19">
        <v>5.6000000000000001E-2</v>
      </c>
    </row>
    <row r="196" spans="1:14" x14ac:dyDescent="0.3">
      <c r="A196" s="13" t="s">
        <v>302</v>
      </c>
      <c r="B196" s="13" t="s">
        <v>7</v>
      </c>
      <c r="C196" s="14">
        <v>26826496</v>
      </c>
      <c r="D196" s="14">
        <f>C196*1.07</f>
        <v>28704350.720000003</v>
      </c>
      <c r="E196" s="14">
        <f>D196*1.07</f>
        <v>30713655.270400006</v>
      </c>
      <c r="F196" s="14">
        <f t="shared" si="14"/>
        <v>32372192.655001607</v>
      </c>
      <c r="G196" s="13" t="s">
        <v>183</v>
      </c>
      <c r="H196" s="13">
        <v>0</v>
      </c>
      <c r="I196" s="13">
        <v>0</v>
      </c>
      <c r="J196" s="13">
        <v>18871390.940000001</v>
      </c>
      <c r="K196" s="13" t="s">
        <v>187</v>
      </c>
      <c r="L196" s="13">
        <v>7955105.0599999996</v>
      </c>
      <c r="M196" s="13">
        <v>70.34</v>
      </c>
      <c r="N196" s="18">
        <v>7.0000000000000007E-2</v>
      </c>
    </row>
    <row r="197" spans="1:14" x14ac:dyDescent="0.3">
      <c r="A197" s="13" t="s">
        <v>303</v>
      </c>
      <c r="B197" s="13" t="s">
        <v>7</v>
      </c>
      <c r="C197" s="14">
        <v>3092145</v>
      </c>
      <c r="D197" s="14">
        <f t="shared" ref="D197:E206" si="15">C197*1.07</f>
        <v>3308595.1500000004</v>
      </c>
      <c r="E197" s="14">
        <f t="shared" si="15"/>
        <v>3540196.8105000006</v>
      </c>
      <c r="F197" s="14">
        <f t="shared" si="14"/>
        <v>3731367.438267001</v>
      </c>
      <c r="G197" s="13" t="s">
        <v>183</v>
      </c>
      <c r="H197" s="13">
        <v>0</v>
      </c>
      <c r="I197" s="13">
        <v>0</v>
      </c>
      <c r="J197" s="13">
        <v>2744879.13</v>
      </c>
      <c r="K197" s="13" t="s">
        <v>187</v>
      </c>
      <c r="L197" s="13">
        <v>347265.87</v>
      </c>
      <c r="M197" s="13">
        <v>88.76</v>
      </c>
      <c r="N197" s="18">
        <v>7.0000000000000007E-2</v>
      </c>
    </row>
    <row r="198" spans="1:14" x14ac:dyDescent="0.3">
      <c r="A198" s="13" t="s">
        <v>304</v>
      </c>
      <c r="B198" s="13" t="s">
        <v>7</v>
      </c>
      <c r="C198" s="14">
        <v>24039614</v>
      </c>
      <c r="D198" s="14">
        <f t="shared" si="15"/>
        <v>25722386.98</v>
      </c>
      <c r="E198" s="14">
        <f t="shared" si="15"/>
        <v>27522954.068600003</v>
      </c>
      <c r="F198" s="14">
        <f t="shared" si="14"/>
        <v>29009193.588304404</v>
      </c>
      <c r="G198" s="13" t="s">
        <v>183</v>
      </c>
      <c r="H198" s="13">
        <v>0</v>
      </c>
      <c r="I198" s="13">
        <v>0</v>
      </c>
      <c r="J198" s="13">
        <v>15609429.41</v>
      </c>
      <c r="K198" s="13" t="s">
        <v>187</v>
      </c>
      <c r="L198" s="13">
        <v>8430184.5899999999</v>
      </c>
      <c r="M198" s="13">
        <v>64.930000000000007</v>
      </c>
      <c r="N198" s="18">
        <v>7.0000000000000007E-2</v>
      </c>
    </row>
    <row r="199" spans="1:14" x14ac:dyDescent="0.3">
      <c r="A199" s="13" t="s">
        <v>305</v>
      </c>
      <c r="B199" s="13" t="s">
        <v>7</v>
      </c>
      <c r="C199" s="14">
        <v>55208465</v>
      </c>
      <c r="D199" s="14">
        <f t="shared" si="15"/>
        <v>59073057.550000004</v>
      </c>
      <c r="E199" s="14">
        <f t="shared" si="15"/>
        <v>63208171.57850001</v>
      </c>
      <c r="F199" s="14">
        <f t="shared" si="14"/>
        <v>66621412.84373901</v>
      </c>
      <c r="G199" s="13" t="s">
        <v>183</v>
      </c>
      <c r="H199" s="13">
        <v>0</v>
      </c>
      <c r="I199" s="13">
        <v>0</v>
      </c>
      <c r="J199" s="13">
        <v>35904911.700000003</v>
      </c>
      <c r="K199" s="13" t="s">
        <v>187</v>
      </c>
      <c r="L199" s="13">
        <v>19303553.300000001</v>
      </c>
      <c r="M199" s="13">
        <v>65.03</v>
      </c>
      <c r="N199" s="18">
        <v>7.0000000000000007E-2</v>
      </c>
    </row>
    <row r="200" spans="1:14" x14ac:dyDescent="0.3">
      <c r="A200" s="13" t="s">
        <v>306</v>
      </c>
      <c r="B200" s="13" t="s">
        <v>7</v>
      </c>
      <c r="C200" s="14">
        <v>166352</v>
      </c>
      <c r="D200" s="14">
        <f t="shared" si="15"/>
        <v>177996.64</v>
      </c>
      <c r="E200" s="14">
        <f t="shared" si="15"/>
        <v>190456.40480000002</v>
      </c>
      <c r="F200" s="14">
        <f t="shared" si="14"/>
        <v>200741.05065920003</v>
      </c>
      <c r="G200" s="13" t="s">
        <v>183</v>
      </c>
      <c r="H200" s="13">
        <v>0</v>
      </c>
      <c r="I200" s="13">
        <v>0</v>
      </c>
      <c r="J200" s="13">
        <v>1444019.84</v>
      </c>
      <c r="K200" s="13" t="s">
        <v>187</v>
      </c>
      <c r="L200" s="13">
        <v>-1277667.8400000001</v>
      </c>
      <c r="M200" s="13">
        <v>868.05</v>
      </c>
      <c r="N200" s="18">
        <v>7.0000000000000007E-2</v>
      </c>
    </row>
    <row r="201" spans="1:14" x14ac:dyDescent="0.3">
      <c r="A201" s="13" t="s">
        <v>307</v>
      </c>
      <c r="B201" s="13" t="s">
        <v>11</v>
      </c>
      <c r="C201" s="14">
        <v>324219</v>
      </c>
      <c r="D201" s="14">
        <f t="shared" si="15"/>
        <v>346914.33</v>
      </c>
      <c r="E201" s="14">
        <f t="shared" si="15"/>
        <v>371198.33310000005</v>
      </c>
      <c r="F201" s="14">
        <f t="shared" ref="F201:F212" si="16">E201*1.054</f>
        <v>391243.04308740009</v>
      </c>
      <c r="G201" s="13" t="s">
        <v>183</v>
      </c>
      <c r="H201" s="13">
        <v>0</v>
      </c>
      <c r="I201" s="13">
        <v>0</v>
      </c>
      <c r="J201" s="13">
        <v>213581.12</v>
      </c>
      <c r="K201" s="13" t="s">
        <v>187</v>
      </c>
      <c r="L201" s="13">
        <v>110637.88</v>
      </c>
      <c r="M201" s="13">
        <v>65.87</v>
      </c>
      <c r="N201" s="18">
        <v>7.0000000000000007E-2</v>
      </c>
    </row>
    <row r="202" spans="1:14" x14ac:dyDescent="0.3">
      <c r="A202" s="13" t="s">
        <v>308</v>
      </c>
      <c r="B202" s="13" t="s">
        <v>11</v>
      </c>
      <c r="C202" s="14">
        <v>490752</v>
      </c>
      <c r="D202" s="14">
        <f t="shared" si="15"/>
        <v>525104.64000000001</v>
      </c>
      <c r="E202" s="14">
        <f t="shared" si="15"/>
        <v>561861.96480000007</v>
      </c>
      <c r="F202" s="14">
        <f t="shared" si="16"/>
        <v>592202.5108992001</v>
      </c>
      <c r="G202" s="13" t="s">
        <v>183</v>
      </c>
      <c r="H202" s="13">
        <v>0</v>
      </c>
      <c r="I202" s="13">
        <v>0</v>
      </c>
      <c r="J202" s="13">
        <v>325810.01</v>
      </c>
      <c r="K202" s="13" t="s">
        <v>187</v>
      </c>
      <c r="L202" s="13">
        <v>164941.99</v>
      </c>
      <c r="M202" s="13">
        <v>66.38</v>
      </c>
      <c r="N202" s="18">
        <v>7.0000000000000007E-2</v>
      </c>
    </row>
    <row r="203" spans="1:14" x14ac:dyDescent="0.3">
      <c r="A203" s="13" t="s">
        <v>309</v>
      </c>
      <c r="B203" s="13" t="s">
        <v>11</v>
      </c>
      <c r="C203" s="14">
        <v>1387716</v>
      </c>
      <c r="D203" s="14">
        <f t="shared" si="15"/>
        <v>1484856.12</v>
      </c>
      <c r="E203" s="14">
        <f t="shared" si="15"/>
        <v>1588796.0484000002</v>
      </c>
      <c r="F203" s="14">
        <f t="shared" si="16"/>
        <v>1674591.0350136003</v>
      </c>
      <c r="G203" s="13" t="s">
        <v>183</v>
      </c>
      <c r="H203" s="13">
        <v>0</v>
      </c>
      <c r="I203" s="13">
        <v>0</v>
      </c>
      <c r="J203" s="13">
        <v>530219.68000000005</v>
      </c>
      <c r="K203" s="13" t="s">
        <v>187</v>
      </c>
      <c r="L203" s="13">
        <v>857496.32</v>
      </c>
      <c r="M203" s="13">
        <v>38.200000000000003</v>
      </c>
      <c r="N203" s="18">
        <v>7.0000000000000007E-2</v>
      </c>
    </row>
    <row r="204" spans="1:14" x14ac:dyDescent="0.3">
      <c r="A204" s="13" t="s">
        <v>310</v>
      </c>
      <c r="B204" s="13" t="s">
        <v>11</v>
      </c>
      <c r="C204" s="14">
        <v>40438</v>
      </c>
      <c r="D204" s="14">
        <f t="shared" si="15"/>
        <v>43268.66</v>
      </c>
      <c r="E204" s="14">
        <f t="shared" si="15"/>
        <v>46297.46620000001</v>
      </c>
      <c r="F204" s="14">
        <f t="shared" si="16"/>
        <v>48797.529374800011</v>
      </c>
      <c r="G204" s="13" t="s">
        <v>183</v>
      </c>
      <c r="H204" s="13">
        <v>0</v>
      </c>
      <c r="I204" s="13">
        <v>0</v>
      </c>
      <c r="J204" s="13">
        <v>29826.84</v>
      </c>
      <c r="K204" s="13" t="s">
        <v>187</v>
      </c>
      <c r="L204" s="13">
        <v>10611.16</v>
      </c>
      <c r="M204" s="13">
        <v>73.75</v>
      </c>
      <c r="N204" s="18">
        <v>7.0000000000000007E-2</v>
      </c>
    </row>
    <row r="205" spans="1:14" x14ac:dyDescent="0.3">
      <c r="A205" s="13" t="s">
        <v>311</v>
      </c>
      <c r="B205" s="13" t="s">
        <v>13</v>
      </c>
      <c r="C205" s="14">
        <v>1246729</v>
      </c>
      <c r="D205" s="14">
        <f t="shared" si="15"/>
        <v>1334000.03</v>
      </c>
      <c r="E205" s="14">
        <f t="shared" si="15"/>
        <v>1427380.0321000002</v>
      </c>
      <c r="F205" s="14">
        <f t="shared" si="16"/>
        <v>1504458.5538334004</v>
      </c>
      <c r="G205" s="13" t="s">
        <v>183</v>
      </c>
      <c r="H205" s="13">
        <v>0</v>
      </c>
      <c r="I205" s="13">
        <v>0</v>
      </c>
      <c r="J205" s="13">
        <v>545210.38</v>
      </c>
      <c r="K205" s="13" t="s">
        <v>187</v>
      </c>
      <c r="L205" s="13">
        <v>701518.62</v>
      </c>
      <c r="M205" s="13">
        <v>43.73</v>
      </c>
      <c r="N205" s="18">
        <v>7.0000000000000007E-2</v>
      </c>
    </row>
    <row r="206" spans="1:14" x14ac:dyDescent="0.3">
      <c r="A206" s="13" t="s">
        <v>312</v>
      </c>
      <c r="B206" s="13" t="s">
        <v>15</v>
      </c>
      <c r="C206" s="14">
        <v>9292459</v>
      </c>
      <c r="D206" s="14">
        <f t="shared" si="15"/>
        <v>9942931.1300000008</v>
      </c>
      <c r="E206" s="14">
        <f t="shared" si="15"/>
        <v>10638936.309100002</v>
      </c>
      <c r="F206" s="14">
        <f t="shared" si="16"/>
        <v>11213438.869791403</v>
      </c>
      <c r="G206" s="13" t="s">
        <v>183</v>
      </c>
      <c r="H206" s="13">
        <v>0</v>
      </c>
      <c r="I206" s="13">
        <v>0</v>
      </c>
      <c r="J206" s="13">
        <v>5491019.29</v>
      </c>
      <c r="K206" s="13" t="s">
        <v>187</v>
      </c>
      <c r="L206" s="13">
        <v>3801439.71</v>
      </c>
      <c r="M206" s="13">
        <v>59.09</v>
      </c>
      <c r="N206" s="18">
        <v>7.0000000000000007E-2</v>
      </c>
    </row>
    <row r="207" spans="1:14" x14ac:dyDescent="0.3">
      <c r="A207" s="13" t="s">
        <v>313</v>
      </c>
      <c r="B207" s="13" t="s">
        <v>16</v>
      </c>
      <c r="C207" s="14">
        <v>13522324</v>
      </c>
      <c r="D207" s="14">
        <f t="shared" ref="D207:E212" si="17">C207*1.07</f>
        <v>14468886.680000002</v>
      </c>
      <c r="E207" s="14">
        <f t="shared" si="17"/>
        <v>15481708.747600002</v>
      </c>
      <c r="F207" s="14">
        <f t="shared" si="16"/>
        <v>16317721.019970404</v>
      </c>
      <c r="G207" s="13" t="s">
        <v>183</v>
      </c>
      <c r="H207" s="13">
        <v>0</v>
      </c>
      <c r="I207" s="13">
        <v>0</v>
      </c>
      <c r="J207" s="13">
        <v>5281461.92</v>
      </c>
      <c r="K207" s="13" t="s">
        <v>187</v>
      </c>
      <c r="L207" s="13">
        <v>8240862.0800000001</v>
      </c>
      <c r="M207" s="13">
        <v>39.049999999999997</v>
      </c>
      <c r="N207" s="18">
        <v>7.0000000000000007E-2</v>
      </c>
    </row>
    <row r="208" spans="1:14" x14ac:dyDescent="0.3">
      <c r="A208" s="13" t="s">
        <v>314</v>
      </c>
      <c r="B208" s="13" t="s">
        <v>24</v>
      </c>
      <c r="C208" s="14">
        <v>60736</v>
      </c>
      <c r="D208" s="14">
        <f t="shared" si="17"/>
        <v>64987.520000000004</v>
      </c>
      <c r="E208" s="14">
        <f t="shared" si="17"/>
        <v>69536.646400000012</v>
      </c>
      <c r="F208" s="14">
        <f t="shared" si="16"/>
        <v>73291.625305600013</v>
      </c>
      <c r="G208" s="13" t="s">
        <v>183</v>
      </c>
      <c r="H208" s="13">
        <v>0</v>
      </c>
      <c r="I208" s="13">
        <v>0</v>
      </c>
      <c r="J208" s="13">
        <v>39346</v>
      </c>
      <c r="K208" s="13" t="s">
        <v>187</v>
      </c>
      <c r="L208" s="13">
        <v>21390</v>
      </c>
      <c r="M208" s="13">
        <v>64.78</v>
      </c>
      <c r="N208" s="18">
        <v>7.0000000000000007E-2</v>
      </c>
    </row>
    <row r="209" spans="1:14" x14ac:dyDescent="0.3">
      <c r="A209" s="13" t="s">
        <v>315</v>
      </c>
      <c r="B209" s="13" t="s">
        <v>27</v>
      </c>
      <c r="C209" s="14">
        <v>376130</v>
      </c>
      <c r="D209" s="14">
        <f t="shared" si="17"/>
        <v>402459.10000000003</v>
      </c>
      <c r="E209" s="14">
        <f t="shared" si="17"/>
        <v>430631.23700000008</v>
      </c>
      <c r="F209" s="14">
        <f t="shared" si="16"/>
        <v>453885.32379800011</v>
      </c>
      <c r="G209" s="13" t="s">
        <v>183</v>
      </c>
      <c r="H209" s="13">
        <v>0</v>
      </c>
      <c r="I209" s="13">
        <v>0</v>
      </c>
      <c r="J209" s="13">
        <v>234665.83</v>
      </c>
      <c r="K209" s="13" t="s">
        <v>187</v>
      </c>
      <c r="L209" s="13">
        <v>141464.17000000001</v>
      </c>
      <c r="M209" s="13">
        <v>62.38</v>
      </c>
      <c r="N209" s="18">
        <v>7.0000000000000007E-2</v>
      </c>
    </row>
    <row r="210" spans="1:14" x14ac:dyDescent="0.3">
      <c r="A210" s="13" t="s">
        <v>316</v>
      </c>
      <c r="B210" s="13" t="s">
        <v>29</v>
      </c>
      <c r="C210" s="14">
        <v>4045478</v>
      </c>
      <c r="D210" s="14">
        <f t="shared" si="17"/>
        <v>4328661.46</v>
      </c>
      <c r="E210" s="14">
        <f t="shared" si="17"/>
        <v>4631667.7621999998</v>
      </c>
      <c r="F210" s="14">
        <f t="shared" si="16"/>
        <v>4881777.8213587999</v>
      </c>
      <c r="G210" s="13" t="s">
        <v>183</v>
      </c>
      <c r="H210" s="13">
        <v>0</v>
      </c>
      <c r="I210" s="13">
        <v>0</v>
      </c>
      <c r="J210" s="13">
        <v>2818558.16</v>
      </c>
      <c r="K210" s="13" t="s">
        <v>187</v>
      </c>
      <c r="L210" s="13">
        <v>1226919.8400000001</v>
      </c>
      <c r="M210" s="13">
        <v>69.67</v>
      </c>
      <c r="N210" s="18">
        <v>7.0000000000000007E-2</v>
      </c>
    </row>
    <row r="211" spans="1:14" x14ac:dyDescent="0.3">
      <c r="A211" s="13" t="s">
        <v>317</v>
      </c>
      <c r="B211" s="13" t="s">
        <v>31</v>
      </c>
      <c r="C211" s="14">
        <v>16373811</v>
      </c>
      <c r="D211" s="14">
        <f t="shared" si="17"/>
        <v>17519977.77</v>
      </c>
      <c r="E211" s="14">
        <f t="shared" si="17"/>
        <v>18746376.2139</v>
      </c>
      <c r="F211" s="14">
        <f t="shared" si="16"/>
        <v>19758680.529450599</v>
      </c>
      <c r="G211" s="13" t="s">
        <v>183</v>
      </c>
      <c r="H211" s="13">
        <v>0</v>
      </c>
      <c r="I211" s="13">
        <v>0</v>
      </c>
      <c r="J211" s="13">
        <v>11002814.59</v>
      </c>
      <c r="K211" s="13" t="s">
        <v>187</v>
      </c>
      <c r="L211" s="13">
        <v>5370996.4100000001</v>
      </c>
      <c r="M211" s="13">
        <v>67.19</v>
      </c>
      <c r="N211" s="18">
        <v>7.0000000000000007E-2</v>
      </c>
    </row>
    <row r="212" spans="1:14" x14ac:dyDescent="0.3">
      <c r="A212" s="13" t="s">
        <v>318</v>
      </c>
      <c r="B212" s="13" t="s">
        <v>33</v>
      </c>
      <c r="C212" s="14">
        <v>956807</v>
      </c>
      <c r="D212" s="14">
        <f>C212*1.07+61876.17</f>
        <v>1085659.6600000001</v>
      </c>
      <c r="E212" s="14">
        <f t="shared" si="17"/>
        <v>1161655.8362000003</v>
      </c>
      <c r="F212" s="14">
        <f t="shared" si="16"/>
        <v>1224385.2513548003</v>
      </c>
      <c r="G212" s="13" t="s">
        <v>183</v>
      </c>
      <c r="H212" s="13">
        <v>0</v>
      </c>
      <c r="I212" s="13">
        <v>0</v>
      </c>
      <c r="J212" s="13">
        <v>639457.53</v>
      </c>
      <c r="K212" s="13" t="s">
        <v>187</v>
      </c>
      <c r="L212" s="13">
        <v>317349.46999999997</v>
      </c>
      <c r="M212" s="13">
        <v>66.83</v>
      </c>
      <c r="N212" s="18">
        <v>7.0000000000000007E-2</v>
      </c>
    </row>
    <row r="213" spans="1:14" x14ac:dyDescent="0.3">
      <c r="A213" s="13" t="s">
        <v>319</v>
      </c>
      <c r="B213" s="13" t="s">
        <v>320</v>
      </c>
      <c r="C213" s="14">
        <v>20248500</v>
      </c>
      <c r="D213" s="14">
        <f>18000000-49891.7</f>
        <v>17950108.300000001</v>
      </c>
      <c r="E213" s="14">
        <f>D213*1.065-8000000</f>
        <v>11116865.339499999</v>
      </c>
      <c r="F213" s="14">
        <f>E213*1.065-8000000</f>
        <v>3839461.5865674987</v>
      </c>
      <c r="G213" s="13" t="s">
        <v>183</v>
      </c>
      <c r="H213" s="13">
        <v>0</v>
      </c>
      <c r="I213" s="13">
        <v>0</v>
      </c>
      <c r="J213" s="13">
        <v>18481937.949999999</v>
      </c>
      <c r="K213" s="13" t="s">
        <v>187</v>
      </c>
      <c r="L213" s="13">
        <v>1766562.05</v>
      </c>
      <c r="M213" s="13">
        <v>91.27</v>
      </c>
      <c r="N213" s="19">
        <v>5.6000000000000001E-2</v>
      </c>
    </row>
    <row r="214" spans="1:14" x14ac:dyDescent="0.3">
      <c r="A214" s="13" t="s">
        <v>321</v>
      </c>
      <c r="B214" s="13" t="s">
        <v>322</v>
      </c>
      <c r="C214" s="14">
        <v>5400000</v>
      </c>
      <c r="D214" s="14">
        <v>3000000</v>
      </c>
      <c r="E214" s="14">
        <f>D214*1.065</f>
        <v>3195000</v>
      </c>
      <c r="F214" s="14">
        <f>E214*1.065</f>
        <v>3402675</v>
      </c>
      <c r="G214" s="13" t="s">
        <v>183</v>
      </c>
      <c r="H214" s="13">
        <v>0</v>
      </c>
      <c r="I214" s="13">
        <v>690000</v>
      </c>
      <c r="J214" s="13">
        <v>4253859.08</v>
      </c>
      <c r="K214" s="13" t="s">
        <v>187</v>
      </c>
      <c r="L214" s="13">
        <v>1146140.92</v>
      </c>
      <c r="M214" s="13">
        <v>78.77</v>
      </c>
      <c r="N214" s="19">
        <v>5.6000000000000001E-2</v>
      </c>
    </row>
    <row r="215" spans="1:14" x14ac:dyDescent="0.3">
      <c r="A215" s="13" t="s">
        <v>323</v>
      </c>
      <c r="B215" s="13" t="s">
        <v>324</v>
      </c>
      <c r="C215" s="14">
        <v>3570000</v>
      </c>
      <c r="D215" s="14">
        <v>1500000</v>
      </c>
      <c r="E215" s="14">
        <f>D215*1.067</f>
        <v>1600500</v>
      </c>
      <c r="F215" s="14">
        <f>E215*1.067</f>
        <v>1707733.5</v>
      </c>
      <c r="G215" s="13" t="s">
        <v>183</v>
      </c>
      <c r="H215" s="13">
        <v>0</v>
      </c>
      <c r="I215" s="13">
        <v>0</v>
      </c>
      <c r="J215" s="13">
        <v>3496635.75</v>
      </c>
      <c r="K215" s="13" t="s">
        <v>187</v>
      </c>
      <c r="L215" s="13">
        <v>73364.25</v>
      </c>
      <c r="M215" s="13">
        <v>97.94</v>
      </c>
      <c r="N215" s="19">
        <v>5.6000000000000001E-2</v>
      </c>
    </row>
    <row r="216" spans="1:14" x14ac:dyDescent="0.3">
      <c r="A216" s="13" t="s">
        <v>325</v>
      </c>
      <c r="B216" s="13" t="s">
        <v>326</v>
      </c>
      <c r="C216" s="14">
        <v>5150000</v>
      </c>
      <c r="D216" s="14">
        <f>5150000+2000000</f>
        <v>7150000</v>
      </c>
      <c r="E216" s="14">
        <f>D216*1.065</f>
        <v>7614750</v>
      </c>
      <c r="F216" s="14">
        <f>E216*1.07</f>
        <v>8147782.5000000009</v>
      </c>
      <c r="G216" s="13" t="s">
        <v>183</v>
      </c>
      <c r="H216" s="13">
        <v>0</v>
      </c>
      <c r="I216" s="13">
        <v>1563450.21</v>
      </c>
      <c r="J216" s="13">
        <v>2913772.89</v>
      </c>
      <c r="K216" s="13" t="s">
        <v>187</v>
      </c>
      <c r="L216" s="13">
        <v>2236227.11</v>
      </c>
      <c r="M216" s="13">
        <v>56.57</v>
      </c>
      <c r="N216" s="19">
        <v>5.6000000000000001E-2</v>
      </c>
    </row>
    <row r="217" spans="1:14" x14ac:dyDescent="0.3">
      <c r="A217" s="13" t="s">
        <v>327</v>
      </c>
      <c r="B217" s="13" t="s">
        <v>328</v>
      </c>
      <c r="C217" s="14">
        <v>4120000</v>
      </c>
      <c r="D217" s="14">
        <v>5120000</v>
      </c>
      <c r="E217" s="14">
        <f>D217*1.065</f>
        <v>5452800</v>
      </c>
      <c r="F217" s="14">
        <f>E217*1.07</f>
        <v>5834496</v>
      </c>
      <c r="G217" s="13" t="s">
        <v>183</v>
      </c>
      <c r="H217" s="13">
        <v>0</v>
      </c>
      <c r="I217" s="13">
        <v>0</v>
      </c>
      <c r="J217" s="13">
        <v>4096700.89</v>
      </c>
      <c r="K217" s="13" t="s">
        <v>187</v>
      </c>
      <c r="L217" s="13">
        <v>23299.11</v>
      </c>
      <c r="M217" s="13">
        <v>99.43</v>
      </c>
      <c r="N217" s="19">
        <v>5.6000000000000001E-2</v>
      </c>
    </row>
    <row r="218" spans="1:14" x14ac:dyDescent="0.3">
      <c r="A218" s="13" t="s">
        <v>329</v>
      </c>
      <c r="B218" s="13" t="s">
        <v>330</v>
      </c>
      <c r="C218" s="14">
        <v>500000</v>
      </c>
      <c r="D218" s="14">
        <v>300000</v>
      </c>
      <c r="E218" s="14">
        <f t="shared" ref="E218:F226" si="18">D218*1.054</f>
        <v>316200</v>
      </c>
      <c r="F218" s="14">
        <f t="shared" si="18"/>
        <v>333274.8</v>
      </c>
      <c r="G218" s="13" t="s">
        <v>183</v>
      </c>
      <c r="H218" s="13">
        <v>0</v>
      </c>
      <c r="I218" s="13">
        <v>0</v>
      </c>
      <c r="J218" s="13">
        <v>0</v>
      </c>
      <c r="K218" s="13" t="s">
        <v>187</v>
      </c>
      <c r="L218" s="13">
        <v>500000</v>
      </c>
      <c r="M218" s="13">
        <v>0</v>
      </c>
      <c r="N218" s="19">
        <v>5.6000000000000001E-2</v>
      </c>
    </row>
    <row r="219" spans="1:14" x14ac:dyDescent="0.3">
      <c r="A219" s="13" t="s">
        <v>331</v>
      </c>
      <c r="B219" s="13" t="s">
        <v>332</v>
      </c>
      <c r="C219" s="14">
        <v>1448000</v>
      </c>
      <c r="D219" s="14">
        <f>1448000+3000000</f>
        <v>4448000</v>
      </c>
      <c r="E219" s="14">
        <f>D219*1.065</f>
        <v>4737120</v>
      </c>
      <c r="F219" s="14">
        <f>E219*1.07</f>
        <v>5068718.4000000004</v>
      </c>
      <c r="G219" s="13" t="s">
        <v>183</v>
      </c>
      <c r="H219" s="13">
        <v>0</v>
      </c>
      <c r="I219" s="13">
        <v>0</v>
      </c>
      <c r="J219" s="13">
        <v>1385942</v>
      </c>
      <c r="K219" s="13" t="s">
        <v>187</v>
      </c>
      <c r="L219" s="13">
        <v>62058</v>
      </c>
      <c r="M219" s="13">
        <v>95.71</v>
      </c>
      <c r="N219" s="19">
        <v>5.6000000000000001E-2</v>
      </c>
    </row>
    <row r="220" spans="1:14" x14ac:dyDescent="0.3">
      <c r="A220" s="13" t="s">
        <v>333</v>
      </c>
      <c r="B220" s="13" t="s">
        <v>332</v>
      </c>
      <c r="C220" s="14">
        <v>2100000</v>
      </c>
      <c r="D220" s="14">
        <v>2100000</v>
      </c>
      <c r="E220" s="14">
        <f>D220*1.065</f>
        <v>2236500</v>
      </c>
      <c r="F220" s="14">
        <f>E220*1.07</f>
        <v>2393055</v>
      </c>
      <c r="G220" s="13" t="s">
        <v>183</v>
      </c>
      <c r="H220" s="13">
        <v>0</v>
      </c>
      <c r="I220" s="13">
        <v>0</v>
      </c>
      <c r="J220" s="13">
        <v>2033492</v>
      </c>
      <c r="K220" s="13" t="s">
        <v>187</v>
      </c>
      <c r="L220" s="13">
        <v>66508</v>
      </c>
      <c r="M220" s="13">
        <v>96.83</v>
      </c>
      <c r="N220" s="19">
        <v>5.6000000000000001E-2</v>
      </c>
    </row>
    <row r="221" spans="1:14" x14ac:dyDescent="0.3">
      <c r="A221" s="13" t="s">
        <v>334</v>
      </c>
      <c r="B221" s="13" t="s">
        <v>335</v>
      </c>
      <c r="C221" s="14">
        <v>35060000</v>
      </c>
      <c r="D221" s="14">
        <f>C221*1.052+3000000</f>
        <v>39883120</v>
      </c>
      <c r="E221" s="14">
        <f t="shared" si="18"/>
        <v>42036808.480000004</v>
      </c>
      <c r="F221" s="14">
        <f t="shared" si="18"/>
        <v>44306796.137920007</v>
      </c>
      <c r="G221" s="13" t="s">
        <v>183</v>
      </c>
      <c r="H221" s="13">
        <v>0</v>
      </c>
      <c r="I221" s="13">
        <v>16817.04</v>
      </c>
      <c r="J221" s="13">
        <v>32457633.59</v>
      </c>
      <c r="K221" s="13" t="s">
        <v>187</v>
      </c>
      <c r="L221" s="13">
        <v>2602366.41</v>
      </c>
      <c r="M221" s="13">
        <v>92.57</v>
      </c>
      <c r="N221" s="19">
        <v>5.6000000000000001E-2</v>
      </c>
    </row>
    <row r="222" spans="1:14" x14ac:dyDescent="0.3">
      <c r="A222" s="13" t="s">
        <v>336</v>
      </c>
      <c r="B222" s="13" t="s">
        <v>101</v>
      </c>
      <c r="C222" s="14">
        <v>1448251</v>
      </c>
      <c r="D222" s="14">
        <f t="shared" ref="D222:D226" si="19">C222*1.056</f>
        <v>1529353.0560000001</v>
      </c>
      <c r="E222" s="14">
        <f t="shared" si="18"/>
        <v>1611938.1210240002</v>
      </c>
      <c r="F222" s="14">
        <f t="shared" si="18"/>
        <v>1698982.7795592963</v>
      </c>
      <c r="G222" s="13" t="s">
        <v>183</v>
      </c>
      <c r="H222" s="13">
        <v>0</v>
      </c>
      <c r="I222" s="13">
        <v>0</v>
      </c>
      <c r="J222" s="13">
        <v>970715.37</v>
      </c>
      <c r="K222" s="13" t="s">
        <v>187</v>
      </c>
      <c r="L222" s="13">
        <v>477535.63</v>
      </c>
      <c r="M222" s="13">
        <v>67.02</v>
      </c>
      <c r="N222" s="19">
        <v>5.6000000000000001E-2</v>
      </c>
    </row>
    <row r="223" spans="1:14" x14ac:dyDescent="0.3">
      <c r="A223" s="13" t="s">
        <v>337</v>
      </c>
      <c r="B223" s="13" t="s">
        <v>164</v>
      </c>
      <c r="C223" s="14">
        <v>288000</v>
      </c>
      <c r="D223" s="14">
        <v>200000</v>
      </c>
      <c r="E223" s="14">
        <f t="shared" si="18"/>
        <v>210800</v>
      </c>
      <c r="F223" s="14">
        <f t="shared" si="18"/>
        <v>222183.2</v>
      </c>
      <c r="G223" s="13" t="s">
        <v>183</v>
      </c>
      <c r="H223" s="13">
        <v>0</v>
      </c>
      <c r="I223" s="13">
        <v>31160</v>
      </c>
      <c r="J223" s="13">
        <v>248805.98</v>
      </c>
      <c r="K223" s="13" t="s">
        <v>187</v>
      </c>
      <c r="L223" s="13">
        <v>39194.019999999997</v>
      </c>
      <c r="M223" s="13">
        <v>86.39</v>
      </c>
      <c r="N223" s="19">
        <v>5.6000000000000001E-2</v>
      </c>
    </row>
    <row r="224" spans="1:14" x14ac:dyDescent="0.3">
      <c r="A224" s="13" t="s">
        <v>338</v>
      </c>
      <c r="B224" s="13" t="s">
        <v>167</v>
      </c>
      <c r="C224" s="14">
        <v>31590</v>
      </c>
      <c r="D224" s="14">
        <f t="shared" si="19"/>
        <v>33359.040000000001</v>
      </c>
      <c r="E224" s="14">
        <f t="shared" si="18"/>
        <v>35160.428160000003</v>
      </c>
      <c r="F224" s="14">
        <f t="shared" si="18"/>
        <v>37059.091280640008</v>
      </c>
      <c r="G224" s="13" t="s">
        <v>183</v>
      </c>
      <c r="H224" s="13">
        <v>0</v>
      </c>
      <c r="I224" s="13">
        <v>0</v>
      </c>
      <c r="J224" s="13">
        <v>0</v>
      </c>
      <c r="K224" s="13" t="s">
        <v>187</v>
      </c>
      <c r="L224" s="13">
        <v>31590</v>
      </c>
      <c r="M224" s="13">
        <v>0</v>
      </c>
      <c r="N224" s="19">
        <v>5.6000000000000001E-2</v>
      </c>
    </row>
    <row r="225" spans="1:14" x14ac:dyDescent="0.3">
      <c r="A225" s="13" t="s">
        <v>339</v>
      </c>
      <c r="B225" s="13" t="s">
        <v>340</v>
      </c>
      <c r="C225" s="14">
        <v>3157712</v>
      </c>
      <c r="D225" s="14">
        <v>2500000</v>
      </c>
      <c r="E225" s="14">
        <f t="shared" si="18"/>
        <v>2635000</v>
      </c>
      <c r="F225" s="14">
        <f t="shared" si="18"/>
        <v>2777290</v>
      </c>
      <c r="G225" s="13" t="s">
        <v>183</v>
      </c>
      <c r="H225" s="13">
        <v>0</v>
      </c>
      <c r="I225" s="13">
        <v>215324.28</v>
      </c>
      <c r="J225" s="13">
        <v>502958.15</v>
      </c>
      <c r="K225" s="13" t="s">
        <v>187</v>
      </c>
      <c r="L225" s="13">
        <v>2654753.85</v>
      </c>
      <c r="M225" s="13">
        <v>15.92</v>
      </c>
      <c r="N225" s="19">
        <v>5.6000000000000001E-2</v>
      </c>
    </row>
    <row r="226" spans="1:14" x14ac:dyDescent="0.3">
      <c r="A226" s="13" t="s">
        <v>341</v>
      </c>
      <c r="B226" s="13" t="s">
        <v>342</v>
      </c>
      <c r="C226" s="14">
        <v>1693000</v>
      </c>
      <c r="D226" s="14">
        <f t="shared" si="19"/>
        <v>1787808</v>
      </c>
      <c r="E226" s="14">
        <f t="shared" si="18"/>
        <v>1884349.632</v>
      </c>
      <c r="F226" s="14">
        <f t="shared" si="18"/>
        <v>1986104.5121280001</v>
      </c>
      <c r="G226" s="13" t="s">
        <v>183</v>
      </c>
      <c r="H226" s="13">
        <v>0</v>
      </c>
      <c r="I226" s="13">
        <v>396868.79</v>
      </c>
      <c r="J226" s="13">
        <v>801693.03</v>
      </c>
      <c r="K226" s="13" t="s">
        <v>187</v>
      </c>
      <c r="L226" s="13">
        <v>891306.97</v>
      </c>
      <c r="M226" s="13">
        <v>47.35</v>
      </c>
      <c r="N226" s="19">
        <v>5.6000000000000001E-2</v>
      </c>
    </row>
    <row r="227" spans="1:14" x14ac:dyDescent="0.3">
      <c r="A227" s="13" t="s">
        <v>343</v>
      </c>
      <c r="B227" s="13" t="s">
        <v>270</v>
      </c>
      <c r="C227" s="14">
        <v>3940000</v>
      </c>
      <c r="D227" s="14">
        <v>3940000</v>
      </c>
      <c r="E227" s="14">
        <f>D227*1.065</f>
        <v>4196100</v>
      </c>
      <c r="F227" s="14">
        <f>E227*1.065</f>
        <v>4468846.5</v>
      </c>
      <c r="G227" s="13" t="s">
        <v>183</v>
      </c>
      <c r="H227" s="13">
        <v>0</v>
      </c>
      <c r="I227" s="13">
        <v>427500</v>
      </c>
      <c r="J227" s="13">
        <v>3471591.76</v>
      </c>
      <c r="K227" s="13" t="s">
        <v>187</v>
      </c>
      <c r="L227" s="13">
        <v>468408.24</v>
      </c>
      <c r="M227" s="13">
        <v>88.11</v>
      </c>
      <c r="N227" s="19">
        <v>5.6000000000000001E-2</v>
      </c>
    </row>
    <row r="228" spans="1:14" x14ac:dyDescent="0.3">
      <c r="A228" s="13" t="s">
        <v>344</v>
      </c>
      <c r="B228" s="13" t="s">
        <v>270</v>
      </c>
      <c r="C228" s="14">
        <v>1530000</v>
      </c>
      <c r="D228" s="14">
        <v>1530000</v>
      </c>
      <c r="E228" s="14">
        <f>D228*1.065</f>
        <v>1629450</v>
      </c>
      <c r="F228" s="14">
        <f>E228*1.065</f>
        <v>1735364.25</v>
      </c>
      <c r="G228" s="13" t="s">
        <v>183</v>
      </c>
      <c r="H228" s="13">
        <v>0</v>
      </c>
      <c r="I228" s="13">
        <v>469319.13</v>
      </c>
      <c r="J228" s="13">
        <v>1040682.55</v>
      </c>
      <c r="K228" s="13" t="s">
        <v>187</v>
      </c>
      <c r="L228" s="13">
        <v>489317.45</v>
      </c>
      <c r="M228" s="13">
        <v>68.010000000000005</v>
      </c>
      <c r="N228" s="19">
        <v>5.6000000000000001E-2</v>
      </c>
    </row>
    <row r="229" spans="1:14" x14ac:dyDescent="0.3">
      <c r="A229" s="13" t="s">
        <v>299</v>
      </c>
      <c r="B229" s="13" t="s">
        <v>270</v>
      </c>
      <c r="C229" s="14">
        <v>300000</v>
      </c>
      <c r="D229" s="14">
        <v>300000</v>
      </c>
      <c r="E229" s="14">
        <f t="shared" ref="E229:E235" si="20">D229*1.065</f>
        <v>319500</v>
      </c>
      <c r="F229" s="14">
        <f t="shared" ref="F229:F235" si="21">E229*1.07</f>
        <v>341865</v>
      </c>
      <c r="N229" s="19"/>
    </row>
    <row r="230" spans="1:14" x14ac:dyDescent="0.3">
      <c r="A230" s="13" t="s">
        <v>345</v>
      </c>
      <c r="B230" s="13" t="s">
        <v>346</v>
      </c>
      <c r="C230" s="14">
        <v>4840000</v>
      </c>
      <c r="D230" s="14">
        <v>4840000</v>
      </c>
      <c r="E230" s="14">
        <f t="shared" si="20"/>
        <v>5154600</v>
      </c>
      <c r="F230" s="14">
        <f t="shared" si="21"/>
        <v>5515422</v>
      </c>
      <c r="G230" s="13" t="s">
        <v>183</v>
      </c>
      <c r="H230" s="13">
        <v>0</v>
      </c>
      <c r="I230" s="13">
        <v>1213037.7</v>
      </c>
      <c r="J230" s="13">
        <v>3570522.8</v>
      </c>
      <c r="K230" s="13" t="s">
        <v>187</v>
      </c>
      <c r="L230" s="13">
        <v>1269477.2</v>
      </c>
      <c r="M230" s="13">
        <v>73.77</v>
      </c>
      <c r="N230" s="19">
        <v>5.6000000000000001E-2</v>
      </c>
    </row>
    <row r="231" spans="1:14" x14ac:dyDescent="0.3">
      <c r="A231" s="13" t="s">
        <v>347</v>
      </c>
      <c r="B231" s="13" t="s">
        <v>346</v>
      </c>
      <c r="C231" s="14">
        <v>4500000</v>
      </c>
      <c r="D231" s="14">
        <v>4500000</v>
      </c>
      <c r="E231" s="14">
        <f t="shared" si="20"/>
        <v>4792500</v>
      </c>
      <c r="F231" s="14">
        <f t="shared" si="21"/>
        <v>5127975</v>
      </c>
      <c r="G231" s="13" t="s">
        <v>183</v>
      </c>
      <c r="H231" s="13">
        <v>0</v>
      </c>
      <c r="I231" s="13">
        <v>1483268.63</v>
      </c>
      <c r="J231" s="13">
        <v>3015277.93</v>
      </c>
      <c r="K231" s="13" t="s">
        <v>187</v>
      </c>
      <c r="L231" s="13">
        <v>1484722.07</v>
      </c>
      <c r="M231" s="13">
        <v>67</v>
      </c>
      <c r="N231" s="19">
        <v>5.6000000000000001E-2</v>
      </c>
    </row>
    <row r="232" spans="1:14" x14ac:dyDescent="0.3">
      <c r="A232" s="13" t="s">
        <v>348</v>
      </c>
      <c r="B232" s="13" t="s">
        <v>346</v>
      </c>
      <c r="C232" s="14">
        <v>5971845</v>
      </c>
      <c r="D232" s="14">
        <v>5971845</v>
      </c>
      <c r="E232" s="14">
        <f t="shared" si="20"/>
        <v>6360014.9249999998</v>
      </c>
      <c r="F232" s="14">
        <f t="shared" si="21"/>
        <v>6805215.9697500002</v>
      </c>
      <c r="G232" s="13" t="s">
        <v>183</v>
      </c>
      <c r="H232" s="13">
        <v>0</v>
      </c>
      <c r="I232" s="13">
        <v>0</v>
      </c>
      <c r="J232" s="13">
        <v>5871266.7599999998</v>
      </c>
      <c r="K232" s="13" t="s">
        <v>187</v>
      </c>
      <c r="L232" s="13">
        <v>100578.24000000001</v>
      </c>
      <c r="M232" s="13">
        <v>98.31</v>
      </c>
      <c r="N232" s="19">
        <v>5.6000000000000001E-2</v>
      </c>
    </row>
    <row r="233" spans="1:14" x14ac:dyDescent="0.3">
      <c r="A233" s="13" t="s">
        <v>349</v>
      </c>
      <c r="B233" s="13" t="s">
        <v>346</v>
      </c>
      <c r="C233" s="14">
        <v>5738000</v>
      </c>
      <c r="D233" s="14">
        <v>5738000</v>
      </c>
      <c r="E233" s="14">
        <f t="shared" si="20"/>
        <v>6110970</v>
      </c>
      <c r="F233" s="14">
        <f t="shared" si="21"/>
        <v>6538737.9000000004</v>
      </c>
      <c r="G233" s="13" t="s">
        <v>183</v>
      </c>
      <c r="H233" s="13">
        <v>0</v>
      </c>
      <c r="I233" s="13">
        <v>853500</v>
      </c>
      <c r="J233" s="13">
        <v>4881875.32</v>
      </c>
      <c r="K233" s="13" t="s">
        <v>187</v>
      </c>
      <c r="L233" s="13">
        <v>856124.68</v>
      </c>
      <c r="M233" s="13">
        <v>85.07</v>
      </c>
      <c r="N233" s="19">
        <v>5.6000000000000001E-2</v>
      </c>
    </row>
    <row r="234" spans="1:14" x14ac:dyDescent="0.3">
      <c r="A234" s="13" t="s">
        <v>350</v>
      </c>
      <c r="B234" s="13" t="s">
        <v>346</v>
      </c>
      <c r="C234" s="14">
        <v>2040000</v>
      </c>
      <c r="D234" s="14">
        <v>2040000</v>
      </c>
      <c r="E234" s="14">
        <f t="shared" si="20"/>
        <v>2172600</v>
      </c>
      <c r="F234" s="14">
        <f t="shared" si="21"/>
        <v>2324682</v>
      </c>
      <c r="G234" s="13" t="s">
        <v>183</v>
      </c>
      <c r="H234" s="13">
        <v>0</v>
      </c>
      <c r="I234" s="13">
        <v>0</v>
      </c>
      <c r="J234" s="13">
        <v>2033627.76</v>
      </c>
      <c r="K234" s="13" t="s">
        <v>187</v>
      </c>
      <c r="L234" s="13">
        <v>6372.24</v>
      </c>
      <c r="M234" s="13">
        <v>99.68</v>
      </c>
      <c r="N234" s="19">
        <v>5.6000000000000001E-2</v>
      </c>
    </row>
    <row r="235" spans="1:14" x14ac:dyDescent="0.3">
      <c r="A235" s="13" t="s">
        <v>351</v>
      </c>
      <c r="B235" s="13" t="s">
        <v>346</v>
      </c>
      <c r="C235" s="14">
        <v>4080000</v>
      </c>
      <c r="D235" s="14">
        <v>4080000</v>
      </c>
      <c r="E235" s="14">
        <f t="shared" si="20"/>
        <v>4345200</v>
      </c>
      <c r="F235" s="14">
        <f t="shared" si="21"/>
        <v>4649364</v>
      </c>
      <c r="G235" s="13" t="s">
        <v>183</v>
      </c>
      <c r="H235" s="13">
        <v>0</v>
      </c>
      <c r="I235" s="13">
        <v>2448260.87</v>
      </c>
      <c r="J235" s="13">
        <v>1628198.42</v>
      </c>
      <c r="K235" s="13" t="s">
        <v>187</v>
      </c>
      <c r="L235" s="13">
        <v>2451801.58</v>
      </c>
      <c r="M235" s="13">
        <v>39.9</v>
      </c>
      <c r="N235" s="19">
        <v>5.6000000000000001E-2</v>
      </c>
    </row>
    <row r="236" spans="1:14" x14ac:dyDescent="0.3">
      <c r="A236" s="13" t="s">
        <v>352</v>
      </c>
      <c r="B236" s="13" t="s">
        <v>353</v>
      </c>
      <c r="C236" s="14">
        <v>88697527</v>
      </c>
      <c r="D236" s="14">
        <f>C236*1.056</f>
        <v>93664588.512000009</v>
      </c>
      <c r="E236" s="14">
        <f>D236*1.054</f>
        <v>98722476.291648015</v>
      </c>
      <c r="F236" s="14">
        <f>E236*1.054</f>
        <v>104053490.01139702</v>
      </c>
      <c r="G236" s="13" t="s">
        <v>183</v>
      </c>
      <c r="H236" s="13">
        <v>0</v>
      </c>
      <c r="I236" s="13">
        <v>0</v>
      </c>
      <c r="J236" s="13">
        <v>85989304.400000006</v>
      </c>
      <c r="K236" s="13" t="s">
        <v>187</v>
      </c>
      <c r="L236" s="13">
        <v>2708222.6</v>
      </c>
      <c r="M236" s="13">
        <v>96.94</v>
      </c>
      <c r="N236" s="19">
        <v>5.6000000000000001E-2</v>
      </c>
    </row>
    <row r="237" spans="1:14" ht="15" thickBot="1" x14ac:dyDescent="0.35">
      <c r="C237" s="15">
        <f>SUM(C186:C236)</f>
        <v>482033427</v>
      </c>
      <c r="D237" s="15">
        <f>SUM(D186:D236)</f>
        <v>444430528.0480001</v>
      </c>
      <c r="E237" s="15">
        <f>SUM(E186:E236)</f>
        <v>465198116.87513214</v>
      </c>
      <c r="F237" s="15">
        <f>SUM(F186:F236)</f>
        <v>465596607.41864365</v>
      </c>
    </row>
    <row r="238" spans="1:14" x14ac:dyDescent="0.3">
      <c r="A238" s="16" t="s">
        <v>518</v>
      </c>
    </row>
    <row r="239" spans="1:14" x14ac:dyDescent="0.3">
      <c r="A239" s="13" t="s">
        <v>354</v>
      </c>
      <c r="B239" s="13" t="s">
        <v>7</v>
      </c>
      <c r="C239" s="14">
        <v>5963752</v>
      </c>
      <c r="D239" s="14">
        <f t="shared" ref="D239:F253" si="22">C239*1.07</f>
        <v>6381214.6400000006</v>
      </c>
      <c r="E239" s="14">
        <f t="shared" si="22"/>
        <v>6827899.6648000013</v>
      </c>
      <c r="F239" s="14">
        <f t="shared" si="22"/>
        <v>7305852.6413360015</v>
      </c>
      <c r="G239" s="13" t="s">
        <v>183</v>
      </c>
      <c r="H239" s="13">
        <v>0</v>
      </c>
      <c r="I239" s="13">
        <v>0</v>
      </c>
      <c r="J239" s="13">
        <v>4251524.1500000004</v>
      </c>
      <c r="K239" s="13" t="s">
        <v>187</v>
      </c>
      <c r="L239" s="13">
        <v>1712227.85</v>
      </c>
      <c r="M239" s="13">
        <v>71.28</v>
      </c>
      <c r="N239" s="18">
        <v>7.0000000000000007E-2</v>
      </c>
    </row>
    <row r="240" spans="1:14" x14ac:dyDescent="0.3">
      <c r="A240" s="13" t="s">
        <v>355</v>
      </c>
      <c r="B240" s="13" t="s">
        <v>9</v>
      </c>
      <c r="C240" s="14">
        <v>75022</v>
      </c>
      <c r="D240" s="14">
        <f t="shared" si="22"/>
        <v>80273.540000000008</v>
      </c>
      <c r="E240" s="14">
        <f t="shared" si="22"/>
        <v>85892.687800000014</v>
      </c>
      <c r="F240" s="14">
        <f t="shared" si="22"/>
        <v>91905.175946000018</v>
      </c>
      <c r="G240" s="13" t="s">
        <v>183</v>
      </c>
      <c r="H240" s="13">
        <v>0</v>
      </c>
      <c r="I240" s="13">
        <v>0</v>
      </c>
      <c r="J240" s="13">
        <v>47570</v>
      </c>
      <c r="K240" s="13" t="s">
        <v>187</v>
      </c>
      <c r="L240" s="13">
        <v>27452</v>
      </c>
      <c r="M240" s="13">
        <v>63.4</v>
      </c>
      <c r="N240" s="18">
        <v>7.0000000000000007E-2</v>
      </c>
    </row>
    <row r="241" spans="1:14" x14ac:dyDescent="0.3">
      <c r="A241" s="13" t="s">
        <v>356</v>
      </c>
      <c r="B241" s="13" t="s">
        <v>11</v>
      </c>
      <c r="C241" s="14">
        <v>20495</v>
      </c>
      <c r="D241" s="14">
        <f t="shared" si="22"/>
        <v>21929.65</v>
      </c>
      <c r="E241" s="14">
        <f t="shared" si="22"/>
        <v>23464.725500000004</v>
      </c>
      <c r="F241" s="14">
        <f t="shared" si="22"/>
        <v>25107.256285000007</v>
      </c>
      <c r="G241" s="13" t="s">
        <v>183</v>
      </c>
      <c r="H241" s="13">
        <v>0</v>
      </c>
      <c r="I241" s="13">
        <v>0</v>
      </c>
      <c r="J241" s="13">
        <v>13637.92</v>
      </c>
      <c r="K241" s="13" t="s">
        <v>187</v>
      </c>
      <c r="L241" s="13">
        <v>6857.08</v>
      </c>
      <c r="M241" s="13">
        <v>66.540000000000006</v>
      </c>
      <c r="N241" s="18">
        <v>7.0000000000000007E-2</v>
      </c>
    </row>
    <row r="242" spans="1:14" x14ac:dyDescent="0.3">
      <c r="A242" s="13" t="s">
        <v>357</v>
      </c>
      <c r="B242" s="13" t="s">
        <v>13</v>
      </c>
      <c r="C242" s="14">
        <v>136588</v>
      </c>
      <c r="D242" s="14">
        <f t="shared" si="22"/>
        <v>146149.16</v>
      </c>
      <c r="E242" s="14">
        <f t="shared" si="22"/>
        <v>156379.6012</v>
      </c>
      <c r="F242" s="14">
        <f t="shared" si="22"/>
        <v>167326.17328400002</v>
      </c>
      <c r="G242" s="13" t="s">
        <v>183</v>
      </c>
      <c r="H242" s="13">
        <v>0</v>
      </c>
      <c r="I242" s="13">
        <v>0</v>
      </c>
      <c r="J242" s="13">
        <v>0</v>
      </c>
      <c r="K242" s="13" t="s">
        <v>187</v>
      </c>
      <c r="L242" s="13">
        <v>136588</v>
      </c>
      <c r="M242" s="13">
        <v>0</v>
      </c>
      <c r="N242" s="18">
        <v>7.0000000000000007E-2</v>
      </c>
    </row>
    <row r="243" spans="1:14" x14ac:dyDescent="0.3">
      <c r="A243" s="13" t="s">
        <v>358</v>
      </c>
      <c r="B243" s="13" t="s">
        <v>15</v>
      </c>
      <c r="C243" s="14">
        <v>1200000</v>
      </c>
      <c r="D243" s="14">
        <f t="shared" si="22"/>
        <v>1284000</v>
      </c>
      <c r="E243" s="14">
        <f t="shared" si="22"/>
        <v>1373880</v>
      </c>
      <c r="F243" s="14">
        <f t="shared" si="22"/>
        <v>1470051.6</v>
      </c>
      <c r="G243" s="13" t="s">
        <v>183</v>
      </c>
      <c r="H243" s="13">
        <v>0</v>
      </c>
      <c r="I243" s="13">
        <v>0</v>
      </c>
      <c r="J243" s="13">
        <v>837030.78</v>
      </c>
      <c r="K243" s="13" t="s">
        <v>187</v>
      </c>
      <c r="L243" s="13">
        <v>362969.22</v>
      </c>
      <c r="M243" s="13">
        <v>69.75</v>
      </c>
      <c r="N243" s="18">
        <v>7.0000000000000007E-2</v>
      </c>
    </row>
    <row r="244" spans="1:14" x14ac:dyDescent="0.3">
      <c r="A244" s="13" t="s">
        <v>359</v>
      </c>
      <c r="B244" s="13" t="s">
        <v>24</v>
      </c>
      <c r="C244" s="14">
        <v>2127</v>
      </c>
      <c r="D244" s="14">
        <f t="shared" si="22"/>
        <v>2275.8900000000003</v>
      </c>
      <c r="E244" s="14">
        <f t="shared" si="22"/>
        <v>2435.2023000000004</v>
      </c>
      <c r="F244" s="14">
        <f t="shared" si="22"/>
        <v>2605.6664610000007</v>
      </c>
      <c r="G244" s="13" t="s">
        <v>183</v>
      </c>
      <c r="H244" s="13">
        <v>0</v>
      </c>
      <c r="I244" s="13">
        <v>0</v>
      </c>
      <c r="J244" s="13">
        <v>696</v>
      </c>
      <c r="K244" s="13" t="s">
        <v>187</v>
      </c>
      <c r="L244" s="13">
        <v>1431</v>
      </c>
      <c r="M244" s="13">
        <v>32.72</v>
      </c>
      <c r="N244" s="18">
        <v>7.0000000000000007E-2</v>
      </c>
    </row>
    <row r="245" spans="1:14" x14ac:dyDescent="0.3">
      <c r="A245" s="13" t="s">
        <v>360</v>
      </c>
      <c r="B245" s="13" t="s">
        <v>27</v>
      </c>
      <c r="C245" s="14">
        <v>37992</v>
      </c>
      <c r="D245" s="14">
        <f t="shared" si="22"/>
        <v>40651.440000000002</v>
      </c>
      <c r="E245" s="14">
        <f t="shared" si="22"/>
        <v>43497.040800000002</v>
      </c>
      <c r="F245" s="14">
        <f t="shared" si="22"/>
        <v>46541.833656000003</v>
      </c>
      <c r="G245" s="13" t="s">
        <v>183</v>
      </c>
      <c r="H245" s="13">
        <v>0</v>
      </c>
      <c r="I245" s="13">
        <v>0</v>
      </c>
      <c r="J245" s="13">
        <v>24111.200000000001</v>
      </c>
      <c r="K245" s="13" t="s">
        <v>187</v>
      </c>
      <c r="L245" s="13">
        <v>13880.8</v>
      </c>
      <c r="M245" s="13">
        <v>63.46</v>
      </c>
      <c r="N245" s="18">
        <v>7.0000000000000007E-2</v>
      </c>
    </row>
    <row r="246" spans="1:14" x14ac:dyDescent="0.3">
      <c r="A246" s="13" t="s">
        <v>361</v>
      </c>
      <c r="B246" s="13" t="s">
        <v>29</v>
      </c>
      <c r="C246" s="14">
        <v>236115</v>
      </c>
      <c r="D246" s="14">
        <f t="shared" si="22"/>
        <v>252643.05000000002</v>
      </c>
      <c r="E246" s="14">
        <f t="shared" si="22"/>
        <v>270328.06350000005</v>
      </c>
      <c r="F246" s="14">
        <f t="shared" si="22"/>
        <v>289251.0279450001</v>
      </c>
      <c r="G246" s="13" t="s">
        <v>183</v>
      </c>
      <c r="H246" s="13">
        <v>0</v>
      </c>
      <c r="I246" s="13">
        <v>0</v>
      </c>
      <c r="J246" s="13">
        <v>147866.19</v>
      </c>
      <c r="K246" s="13" t="s">
        <v>187</v>
      </c>
      <c r="L246" s="13">
        <v>88248.81</v>
      </c>
      <c r="M246" s="13">
        <v>62.62</v>
      </c>
      <c r="N246" s="18">
        <v>7.0000000000000007E-2</v>
      </c>
    </row>
    <row r="247" spans="1:14" x14ac:dyDescent="0.3">
      <c r="A247" s="13" t="s">
        <v>362</v>
      </c>
      <c r="B247" s="13" t="s">
        <v>31</v>
      </c>
      <c r="C247" s="14">
        <v>910022</v>
      </c>
      <c r="D247" s="14">
        <f t="shared" si="22"/>
        <v>973723.54</v>
      </c>
      <c r="E247" s="14">
        <f t="shared" si="22"/>
        <v>1041884.1878000001</v>
      </c>
      <c r="F247" s="14">
        <f t="shared" si="22"/>
        <v>1114816.0809460001</v>
      </c>
      <c r="G247" s="13" t="s">
        <v>183</v>
      </c>
      <c r="H247" s="13">
        <v>0</v>
      </c>
      <c r="I247" s="13">
        <v>0</v>
      </c>
      <c r="J247" s="13">
        <v>606270.14</v>
      </c>
      <c r="K247" s="13" t="s">
        <v>187</v>
      </c>
      <c r="L247" s="13">
        <v>303751.86</v>
      </c>
      <c r="M247" s="13">
        <v>66.62</v>
      </c>
      <c r="N247" s="18">
        <v>7.0000000000000007E-2</v>
      </c>
    </row>
    <row r="248" spans="1:14" x14ac:dyDescent="0.3">
      <c r="A248" s="13" t="s">
        <v>363</v>
      </c>
      <c r="B248" s="13" t="s">
        <v>33</v>
      </c>
      <c r="C248" s="14">
        <v>18268</v>
      </c>
      <c r="D248" s="14">
        <f t="shared" si="22"/>
        <v>19546.760000000002</v>
      </c>
      <c r="E248" s="14">
        <f t="shared" si="22"/>
        <v>20915.033200000002</v>
      </c>
      <c r="F248" s="14">
        <f t="shared" si="22"/>
        <v>22379.085524000002</v>
      </c>
      <c r="G248" s="14" t="e">
        <f>#REF!*1.07</f>
        <v>#REF!</v>
      </c>
      <c r="H248" s="14" t="e">
        <f t="shared" ref="H248:M248" si="23">G248*1.07</f>
        <v>#REF!</v>
      </c>
      <c r="I248" s="14" t="e">
        <f t="shared" si="23"/>
        <v>#REF!</v>
      </c>
      <c r="J248" s="14" t="e">
        <f t="shared" si="23"/>
        <v>#REF!</v>
      </c>
      <c r="K248" s="14" t="e">
        <f t="shared" si="23"/>
        <v>#REF!</v>
      </c>
      <c r="L248" s="14" t="e">
        <f t="shared" si="23"/>
        <v>#REF!</v>
      </c>
      <c r="M248" s="14" t="e">
        <f t="shared" si="23"/>
        <v>#REF!</v>
      </c>
      <c r="N248" s="18">
        <v>7.0000000000000007E-2</v>
      </c>
    </row>
    <row r="249" spans="1:14" x14ac:dyDescent="0.3">
      <c r="A249" s="13" t="s">
        <v>364</v>
      </c>
      <c r="B249" s="13" t="s">
        <v>84</v>
      </c>
      <c r="C249" s="14">
        <v>2000</v>
      </c>
      <c r="D249" s="14">
        <v>2000</v>
      </c>
      <c r="E249" s="14">
        <f>D249*1.054</f>
        <v>2108</v>
      </c>
      <c r="F249" s="14">
        <f t="shared" si="22"/>
        <v>2255.56</v>
      </c>
      <c r="G249" s="13" t="s">
        <v>183</v>
      </c>
      <c r="H249" s="13">
        <v>0</v>
      </c>
      <c r="I249" s="13">
        <v>0</v>
      </c>
      <c r="J249" s="13">
        <v>0</v>
      </c>
      <c r="K249" s="13" t="s">
        <v>187</v>
      </c>
      <c r="L249" s="13">
        <v>2000</v>
      </c>
      <c r="M249" s="13">
        <v>0</v>
      </c>
      <c r="N249" s="19">
        <v>5.6000000000000001E-2</v>
      </c>
    </row>
    <row r="250" spans="1:14" x14ac:dyDescent="0.3">
      <c r="A250" s="13" t="s">
        <v>365</v>
      </c>
      <c r="B250" s="13" t="s">
        <v>366</v>
      </c>
      <c r="C250" s="14">
        <v>66000</v>
      </c>
      <c r="D250" s="14">
        <v>80000</v>
      </c>
      <c r="E250" s="14">
        <f t="shared" ref="E250:E261" si="24">D250*1.054</f>
        <v>84320</v>
      </c>
      <c r="F250" s="14">
        <f t="shared" si="22"/>
        <v>90222.400000000009</v>
      </c>
      <c r="G250" s="13" t="s">
        <v>183</v>
      </c>
      <c r="H250" s="13">
        <v>0</v>
      </c>
      <c r="I250" s="13">
        <v>0</v>
      </c>
      <c r="J250" s="13">
        <v>8500.8700000000008</v>
      </c>
      <c r="K250" s="13" t="s">
        <v>187</v>
      </c>
      <c r="L250" s="13">
        <v>57499.13</v>
      </c>
      <c r="M250" s="13">
        <v>12.88</v>
      </c>
      <c r="N250" s="19">
        <v>5.6000000000000001E-2</v>
      </c>
    </row>
    <row r="251" spans="1:14" x14ac:dyDescent="0.3">
      <c r="A251" s="13" t="s">
        <v>367</v>
      </c>
      <c r="B251" s="13" t="s">
        <v>368</v>
      </c>
      <c r="C251" s="14">
        <v>150000</v>
      </c>
      <c r="D251" s="14">
        <v>100000</v>
      </c>
      <c r="E251" s="14">
        <f t="shared" si="24"/>
        <v>105400</v>
      </c>
      <c r="F251" s="14">
        <f t="shared" si="22"/>
        <v>112778</v>
      </c>
      <c r="G251" s="13" t="s">
        <v>183</v>
      </c>
      <c r="H251" s="13">
        <v>0</v>
      </c>
      <c r="I251" s="13">
        <v>12740</v>
      </c>
      <c r="J251" s="13">
        <v>17385.810000000001</v>
      </c>
      <c r="K251" s="13" t="s">
        <v>187</v>
      </c>
      <c r="L251" s="13">
        <v>132614.19</v>
      </c>
      <c r="M251" s="13">
        <v>11.59</v>
      </c>
      <c r="N251" s="19">
        <v>5.6000000000000001E-2</v>
      </c>
    </row>
    <row r="252" spans="1:14" x14ac:dyDescent="0.3">
      <c r="A252" s="13" t="s">
        <v>369</v>
      </c>
      <c r="B252" s="13" t="s">
        <v>370</v>
      </c>
      <c r="C252" s="14">
        <v>106000</v>
      </c>
      <c r="D252" s="14">
        <v>50000</v>
      </c>
      <c r="E252" s="14">
        <f t="shared" si="24"/>
        <v>52700</v>
      </c>
      <c r="F252" s="14">
        <f t="shared" si="22"/>
        <v>56389</v>
      </c>
      <c r="G252" s="13" t="s">
        <v>183</v>
      </c>
      <c r="H252" s="13">
        <v>0</v>
      </c>
      <c r="I252" s="13">
        <v>0</v>
      </c>
      <c r="J252" s="13">
        <v>5965.68</v>
      </c>
      <c r="K252" s="13" t="s">
        <v>187</v>
      </c>
      <c r="L252" s="13">
        <v>100034.32</v>
      </c>
      <c r="M252" s="13">
        <v>5.62</v>
      </c>
      <c r="N252" s="19">
        <v>5.6000000000000001E-2</v>
      </c>
    </row>
    <row r="253" spans="1:14" x14ac:dyDescent="0.3">
      <c r="A253" s="13" t="s">
        <v>371</v>
      </c>
      <c r="B253" s="13" t="s">
        <v>372</v>
      </c>
      <c r="C253" s="14">
        <v>230000</v>
      </c>
      <c r="E253" s="14">
        <f t="shared" si="24"/>
        <v>0</v>
      </c>
      <c r="F253" s="14">
        <f t="shared" si="22"/>
        <v>0</v>
      </c>
      <c r="G253" s="13" t="s">
        <v>183</v>
      </c>
      <c r="H253" s="13">
        <v>0</v>
      </c>
      <c r="I253" s="13">
        <v>0</v>
      </c>
      <c r="J253" s="13">
        <v>3800</v>
      </c>
      <c r="K253" s="13" t="s">
        <v>187</v>
      </c>
      <c r="L253" s="13">
        <v>226200</v>
      </c>
      <c r="M253" s="13">
        <v>1.65</v>
      </c>
      <c r="N253" s="19">
        <v>5.6000000000000001E-2</v>
      </c>
    </row>
    <row r="254" spans="1:14" x14ac:dyDescent="0.3">
      <c r="A254" s="13" t="s">
        <v>373</v>
      </c>
      <c r="B254" s="13" t="s">
        <v>374</v>
      </c>
      <c r="C254" s="14">
        <v>50000</v>
      </c>
      <c r="D254" s="14">
        <v>100000</v>
      </c>
      <c r="E254" s="14">
        <f t="shared" si="24"/>
        <v>105400</v>
      </c>
      <c r="F254" s="14">
        <f t="shared" ref="F254:F261" si="25">E254*1.07</f>
        <v>112778</v>
      </c>
      <c r="G254" s="13" t="s">
        <v>183</v>
      </c>
      <c r="H254" s="13">
        <v>0</v>
      </c>
      <c r="I254" s="13">
        <v>0</v>
      </c>
      <c r="J254" s="13">
        <v>0</v>
      </c>
      <c r="K254" s="13" t="s">
        <v>187</v>
      </c>
      <c r="L254" s="13">
        <v>50000</v>
      </c>
      <c r="M254" s="13">
        <v>0</v>
      </c>
      <c r="N254" s="19">
        <v>5.6000000000000001E-2</v>
      </c>
    </row>
    <row r="255" spans="1:14" x14ac:dyDescent="0.3">
      <c r="A255" s="13" t="s">
        <v>375</v>
      </c>
      <c r="B255" s="13" t="s">
        <v>376</v>
      </c>
      <c r="C255" s="14">
        <v>600000</v>
      </c>
      <c r="E255" s="14">
        <f t="shared" si="24"/>
        <v>0</v>
      </c>
      <c r="F255" s="14">
        <f t="shared" si="25"/>
        <v>0</v>
      </c>
      <c r="G255" s="13" t="s">
        <v>183</v>
      </c>
      <c r="H255" s="13">
        <v>0</v>
      </c>
      <c r="I255" s="13">
        <v>0</v>
      </c>
      <c r="J255" s="13">
        <v>110100</v>
      </c>
      <c r="K255" s="13" t="s">
        <v>187</v>
      </c>
      <c r="L255" s="13">
        <v>489900</v>
      </c>
      <c r="M255" s="13">
        <v>18.350000000000001</v>
      </c>
      <c r="N255" s="19">
        <v>5.6000000000000001E-2</v>
      </c>
    </row>
    <row r="256" spans="1:14" x14ac:dyDescent="0.3">
      <c r="A256" s="13" t="s">
        <v>377</v>
      </c>
      <c r="B256" s="13" t="s">
        <v>378</v>
      </c>
      <c r="C256" s="14">
        <v>348000</v>
      </c>
      <c r="D256" s="14">
        <v>0</v>
      </c>
      <c r="E256" s="14">
        <f t="shared" si="24"/>
        <v>0</v>
      </c>
      <c r="F256" s="14">
        <f t="shared" si="25"/>
        <v>0</v>
      </c>
      <c r="G256" s="13" t="s">
        <v>183</v>
      </c>
      <c r="H256" s="13">
        <v>0</v>
      </c>
      <c r="I256" s="13">
        <v>0</v>
      </c>
      <c r="J256" s="13">
        <v>0</v>
      </c>
      <c r="K256" s="13" t="s">
        <v>187</v>
      </c>
      <c r="L256" s="13">
        <v>348000</v>
      </c>
      <c r="M256" s="13">
        <v>0</v>
      </c>
      <c r="N256" s="19">
        <v>5.6000000000000001E-2</v>
      </c>
    </row>
    <row r="257" spans="1:14" x14ac:dyDescent="0.3">
      <c r="A257" s="13" t="s">
        <v>379</v>
      </c>
      <c r="B257" s="13" t="s">
        <v>149</v>
      </c>
      <c r="C257" s="14">
        <v>100000</v>
      </c>
      <c r="D257" s="14">
        <v>100000</v>
      </c>
      <c r="E257" s="14">
        <f t="shared" si="24"/>
        <v>105400</v>
      </c>
      <c r="F257" s="14">
        <f t="shared" si="25"/>
        <v>112778</v>
      </c>
      <c r="G257" s="13" t="s">
        <v>183</v>
      </c>
      <c r="H257" s="13">
        <v>0</v>
      </c>
      <c r="I257" s="13">
        <v>0</v>
      </c>
      <c r="J257" s="13">
        <v>5103</v>
      </c>
      <c r="K257" s="13" t="s">
        <v>187</v>
      </c>
      <c r="L257" s="13">
        <v>94897</v>
      </c>
      <c r="M257" s="13">
        <v>5.0999999999999996</v>
      </c>
      <c r="N257" s="19">
        <v>5.6000000000000001E-2</v>
      </c>
    </row>
    <row r="258" spans="1:14" x14ac:dyDescent="0.3">
      <c r="A258" s="13" t="s">
        <v>380</v>
      </c>
      <c r="B258" s="13" t="s">
        <v>381</v>
      </c>
      <c r="C258" s="14">
        <v>582000</v>
      </c>
      <c r="D258" s="14">
        <v>650000</v>
      </c>
      <c r="E258" s="14">
        <f t="shared" si="24"/>
        <v>685100</v>
      </c>
      <c r="F258" s="14">
        <f t="shared" si="25"/>
        <v>733057</v>
      </c>
      <c r="G258" s="13" t="s">
        <v>183</v>
      </c>
      <c r="H258" s="13">
        <v>0</v>
      </c>
      <c r="I258" s="13">
        <v>3780</v>
      </c>
      <c r="J258" s="13">
        <v>334717.59000000003</v>
      </c>
      <c r="K258" s="13" t="s">
        <v>187</v>
      </c>
      <c r="L258" s="13">
        <v>247282.41</v>
      </c>
      <c r="M258" s="13">
        <v>57.51</v>
      </c>
      <c r="N258" s="19">
        <v>5.6000000000000001E-2</v>
      </c>
    </row>
    <row r="259" spans="1:14" x14ac:dyDescent="0.3">
      <c r="A259" s="13" t="s">
        <v>382</v>
      </c>
      <c r="B259" s="13" t="s">
        <v>101</v>
      </c>
      <c r="C259" s="14">
        <v>61273</v>
      </c>
      <c r="D259" s="14">
        <f t="shared" ref="D259" si="26">C259*1.056</f>
        <v>64704.288</v>
      </c>
      <c r="E259" s="14">
        <f t="shared" si="24"/>
        <v>68198.319552000001</v>
      </c>
      <c r="F259" s="14">
        <f t="shared" si="25"/>
        <v>72972.20192064</v>
      </c>
      <c r="G259" s="13" t="s">
        <v>183</v>
      </c>
      <c r="H259" s="13">
        <v>0</v>
      </c>
      <c r="I259" s="13">
        <v>0</v>
      </c>
      <c r="J259" s="13">
        <v>41167.01</v>
      </c>
      <c r="K259" s="13" t="s">
        <v>187</v>
      </c>
      <c r="L259" s="13">
        <v>20105.990000000002</v>
      </c>
      <c r="M259" s="13">
        <v>67.180000000000007</v>
      </c>
      <c r="N259" s="19">
        <v>5.6000000000000001E-2</v>
      </c>
    </row>
    <row r="260" spans="1:14" x14ac:dyDescent="0.3">
      <c r="A260" s="13" t="s">
        <v>383</v>
      </c>
      <c r="B260" s="13" t="s">
        <v>164</v>
      </c>
      <c r="C260" s="14">
        <v>176000</v>
      </c>
      <c r="D260" s="14">
        <v>150000</v>
      </c>
      <c r="E260" s="14">
        <f t="shared" si="24"/>
        <v>158100</v>
      </c>
      <c r="F260" s="14">
        <f t="shared" si="25"/>
        <v>169167</v>
      </c>
      <c r="G260" s="13" t="s">
        <v>183</v>
      </c>
      <c r="H260" s="13">
        <v>0</v>
      </c>
      <c r="I260" s="13">
        <v>14370</v>
      </c>
      <c r="J260" s="13">
        <v>108838.27</v>
      </c>
      <c r="K260" s="13" t="s">
        <v>187</v>
      </c>
      <c r="L260" s="13">
        <v>67161.73</v>
      </c>
      <c r="M260" s="13">
        <v>61.83</v>
      </c>
      <c r="N260" s="19">
        <v>5.6000000000000001E-2</v>
      </c>
    </row>
    <row r="261" spans="1:14" x14ac:dyDescent="0.3">
      <c r="A261" s="13" t="s">
        <v>384</v>
      </c>
      <c r="B261" s="13" t="s">
        <v>171</v>
      </c>
      <c r="C261" s="14">
        <v>250000</v>
      </c>
      <c r="D261" s="14">
        <v>200000</v>
      </c>
      <c r="E261" s="14">
        <f t="shared" si="24"/>
        <v>210800</v>
      </c>
      <c r="F261" s="14">
        <f t="shared" si="25"/>
        <v>225556</v>
      </c>
      <c r="G261" s="13" t="s">
        <v>183</v>
      </c>
      <c r="H261" s="13">
        <v>0</v>
      </c>
      <c r="I261" s="13">
        <v>0</v>
      </c>
      <c r="J261" s="13">
        <v>0</v>
      </c>
      <c r="K261" s="13" t="s">
        <v>187</v>
      </c>
      <c r="L261" s="13">
        <v>250000</v>
      </c>
      <c r="M261" s="13">
        <v>0</v>
      </c>
      <c r="N261" s="19">
        <v>5.6000000000000001E-2</v>
      </c>
    </row>
    <row r="262" spans="1:14" x14ac:dyDescent="0.3">
      <c r="A262" s="13" t="s">
        <v>385</v>
      </c>
      <c r="B262" s="13" t="s">
        <v>386</v>
      </c>
      <c r="D262" s="14">
        <v>120000</v>
      </c>
      <c r="N262" s="19"/>
    </row>
    <row r="263" spans="1:14" x14ac:dyDescent="0.3">
      <c r="A263" s="13" t="s">
        <v>385</v>
      </c>
      <c r="B263" s="13" t="s">
        <v>387</v>
      </c>
      <c r="D263" s="14">
        <v>500000</v>
      </c>
      <c r="N263" s="19"/>
    </row>
    <row r="264" spans="1:14" ht="15" thickBot="1" x14ac:dyDescent="0.35">
      <c r="C264" s="15">
        <f>SUM(C239:C261)</f>
        <v>11321654</v>
      </c>
      <c r="D264" s="15">
        <f>SUM(D239:D263)</f>
        <v>11319111.958000001</v>
      </c>
      <c r="E264" s="15">
        <f>SUM(E239:E261)</f>
        <v>11424102.526452001</v>
      </c>
      <c r="F264" s="15">
        <f>SUM(F239:F261)</f>
        <v>12223789.703303643</v>
      </c>
    </row>
    <row r="265" spans="1:14" x14ac:dyDescent="0.3">
      <c r="A265" s="16" t="s">
        <v>517</v>
      </c>
    </row>
    <row r="266" spans="1:14" x14ac:dyDescent="0.3">
      <c r="A266" s="13" t="s">
        <v>388</v>
      </c>
      <c r="B266" s="13" t="s">
        <v>193</v>
      </c>
      <c r="C266" s="14">
        <v>30000</v>
      </c>
      <c r="D266" s="14">
        <v>40000</v>
      </c>
      <c r="E266" s="14">
        <f>D266*1.054</f>
        <v>42160</v>
      </c>
      <c r="F266" s="14">
        <f>E266*1.054</f>
        <v>44436.639999999999</v>
      </c>
      <c r="G266" s="13" t="s">
        <v>183</v>
      </c>
      <c r="H266" s="13">
        <v>0</v>
      </c>
      <c r="I266" s="13">
        <v>0</v>
      </c>
      <c r="J266" s="13">
        <v>16272</v>
      </c>
      <c r="K266" s="13" t="s">
        <v>187</v>
      </c>
      <c r="L266" s="13">
        <v>13728</v>
      </c>
      <c r="M266" s="13">
        <v>54.24</v>
      </c>
      <c r="N266" s="19">
        <v>5.6000000000000001E-2</v>
      </c>
    </row>
    <row r="267" spans="1:14" hidden="1" x14ac:dyDescent="0.3">
      <c r="A267" s="13" t="s">
        <v>389</v>
      </c>
      <c r="B267" s="13" t="s">
        <v>7</v>
      </c>
      <c r="C267" s="14">
        <v>0</v>
      </c>
      <c r="D267" s="14">
        <f>C267*1.07</f>
        <v>0</v>
      </c>
      <c r="E267" s="14">
        <f>D267*1.07</f>
        <v>0</v>
      </c>
      <c r="F267" s="14">
        <f>E267*1.07</f>
        <v>0</v>
      </c>
      <c r="G267" s="13" t="s">
        <v>183</v>
      </c>
      <c r="H267" s="13">
        <v>0</v>
      </c>
      <c r="I267" s="13">
        <v>0</v>
      </c>
      <c r="J267" s="13">
        <v>2168947.61</v>
      </c>
      <c r="K267" s="13" t="s">
        <v>187</v>
      </c>
      <c r="L267" s="13">
        <v>-2168947.61</v>
      </c>
      <c r="M267" s="13">
        <v>0</v>
      </c>
      <c r="N267" s="18">
        <v>7.0000000000000007E-2</v>
      </c>
    </row>
    <row r="268" spans="1:14" hidden="1" x14ac:dyDescent="0.3">
      <c r="A268" s="13" t="s">
        <v>390</v>
      </c>
      <c r="B268" s="13" t="s">
        <v>7</v>
      </c>
      <c r="C268" s="14">
        <v>0</v>
      </c>
      <c r="D268" s="14">
        <f t="shared" ref="D268:F283" si="27">C268*1.07</f>
        <v>0</v>
      </c>
      <c r="E268" s="14">
        <f t="shared" si="27"/>
        <v>0</v>
      </c>
      <c r="F268" s="14">
        <f t="shared" si="27"/>
        <v>0</v>
      </c>
      <c r="G268" s="13" t="s">
        <v>183</v>
      </c>
      <c r="H268" s="13">
        <v>0</v>
      </c>
      <c r="I268" s="13">
        <v>0</v>
      </c>
      <c r="J268" s="13">
        <v>4411639.47</v>
      </c>
      <c r="K268" s="13" t="s">
        <v>187</v>
      </c>
      <c r="L268" s="13">
        <v>-4411639.47</v>
      </c>
      <c r="M268" s="13">
        <v>0</v>
      </c>
      <c r="N268" s="18">
        <v>7.0000000000000007E-2</v>
      </c>
    </row>
    <row r="269" spans="1:14" hidden="1" x14ac:dyDescent="0.3">
      <c r="A269" s="13" t="s">
        <v>391</v>
      </c>
      <c r="B269" s="13" t="s">
        <v>7</v>
      </c>
      <c r="C269" s="14">
        <v>0</v>
      </c>
      <c r="D269" s="14">
        <f t="shared" si="27"/>
        <v>0</v>
      </c>
      <c r="E269" s="14">
        <f t="shared" si="27"/>
        <v>0</v>
      </c>
      <c r="F269" s="14">
        <f t="shared" si="27"/>
        <v>0</v>
      </c>
      <c r="G269" s="13" t="s">
        <v>183</v>
      </c>
      <c r="H269" s="13">
        <v>0</v>
      </c>
      <c r="I269" s="13">
        <v>0</v>
      </c>
      <c r="J269" s="13">
        <v>5298488.8099999996</v>
      </c>
      <c r="K269" s="13" t="s">
        <v>187</v>
      </c>
      <c r="L269" s="13">
        <v>-5298488.8099999996</v>
      </c>
      <c r="M269" s="13">
        <v>0</v>
      </c>
      <c r="N269" s="18">
        <v>7.0000000000000007E-2</v>
      </c>
    </row>
    <row r="270" spans="1:14" hidden="1" x14ac:dyDescent="0.3">
      <c r="A270" s="13" t="s">
        <v>392</v>
      </c>
      <c r="B270" s="13" t="s">
        <v>7</v>
      </c>
      <c r="C270" s="14">
        <v>0</v>
      </c>
      <c r="D270" s="14">
        <f t="shared" si="27"/>
        <v>0</v>
      </c>
      <c r="E270" s="14">
        <f t="shared" si="27"/>
        <v>0</v>
      </c>
      <c r="F270" s="14">
        <f t="shared" si="27"/>
        <v>0</v>
      </c>
      <c r="G270" s="13" t="s">
        <v>183</v>
      </c>
      <c r="H270" s="13">
        <v>0</v>
      </c>
      <c r="I270" s="13">
        <v>0</v>
      </c>
      <c r="J270" s="13">
        <v>591967.36</v>
      </c>
      <c r="K270" s="13" t="s">
        <v>187</v>
      </c>
      <c r="L270" s="13">
        <v>-591967.36</v>
      </c>
      <c r="M270" s="13">
        <v>0</v>
      </c>
      <c r="N270" s="18">
        <v>7.0000000000000007E-2</v>
      </c>
    </row>
    <row r="271" spans="1:14" hidden="1" x14ac:dyDescent="0.3">
      <c r="A271" s="13" t="s">
        <v>393</v>
      </c>
      <c r="B271" s="13" t="s">
        <v>7</v>
      </c>
      <c r="C271" s="14">
        <v>0</v>
      </c>
      <c r="D271" s="14">
        <f t="shared" si="27"/>
        <v>0</v>
      </c>
      <c r="E271" s="14">
        <f t="shared" si="27"/>
        <v>0</v>
      </c>
      <c r="F271" s="14">
        <f t="shared" si="27"/>
        <v>0</v>
      </c>
      <c r="G271" s="13" t="s">
        <v>183</v>
      </c>
      <c r="H271" s="13">
        <v>0</v>
      </c>
      <c r="I271" s="13">
        <v>0</v>
      </c>
      <c r="J271" s="13">
        <v>3583876.82</v>
      </c>
      <c r="K271" s="13" t="s">
        <v>187</v>
      </c>
      <c r="L271" s="13">
        <v>-3583876.82</v>
      </c>
      <c r="M271" s="13">
        <v>0</v>
      </c>
      <c r="N271" s="18">
        <v>7.0000000000000007E-2</v>
      </c>
    </row>
    <row r="272" spans="1:14" x14ac:dyDescent="0.3">
      <c r="A272" s="13" t="s">
        <v>394</v>
      </c>
      <c r="B272" s="13" t="s">
        <v>7</v>
      </c>
      <c r="C272" s="14">
        <v>33488160</v>
      </c>
      <c r="D272" s="14">
        <f t="shared" si="27"/>
        <v>35832331.200000003</v>
      </c>
      <c r="E272" s="14">
        <f t="shared" si="27"/>
        <v>38340594.384000003</v>
      </c>
      <c r="F272" s="14">
        <f t="shared" si="27"/>
        <v>41024435.990880005</v>
      </c>
      <c r="G272" s="13" t="s">
        <v>183</v>
      </c>
      <c r="H272" s="13">
        <v>0</v>
      </c>
      <c r="I272" s="13">
        <v>0</v>
      </c>
      <c r="J272" s="13">
        <v>6963972.8200000003</v>
      </c>
      <c r="K272" s="13" t="s">
        <v>187</v>
      </c>
      <c r="L272" s="13">
        <v>26524187.18</v>
      </c>
      <c r="M272" s="13">
        <v>20.79</v>
      </c>
      <c r="N272" s="18">
        <v>7.0000000000000007E-2</v>
      </c>
    </row>
    <row r="273" spans="1:14" x14ac:dyDescent="0.3">
      <c r="A273" s="13" t="s">
        <v>395</v>
      </c>
      <c r="B273" s="13" t="s">
        <v>9</v>
      </c>
      <c r="C273" s="14">
        <v>82459</v>
      </c>
      <c r="D273" s="14">
        <f>C273</f>
        <v>82459</v>
      </c>
      <c r="E273" s="14">
        <f t="shared" si="27"/>
        <v>88231.13</v>
      </c>
      <c r="F273" s="14">
        <f t="shared" si="27"/>
        <v>94407.309100000013</v>
      </c>
      <c r="G273" s="13" t="s">
        <v>183</v>
      </c>
      <c r="H273" s="13">
        <v>0</v>
      </c>
      <c r="I273" s="13">
        <v>0</v>
      </c>
      <c r="J273" s="13">
        <v>55562</v>
      </c>
      <c r="K273" s="13" t="s">
        <v>187</v>
      </c>
      <c r="L273" s="13">
        <v>26897</v>
      </c>
      <c r="M273" s="13">
        <v>67.38</v>
      </c>
      <c r="N273" s="18">
        <v>7.0000000000000007E-2</v>
      </c>
    </row>
    <row r="274" spans="1:14" hidden="1" x14ac:dyDescent="0.3">
      <c r="A274" s="13" t="s">
        <v>396</v>
      </c>
      <c r="B274" s="13" t="s">
        <v>11</v>
      </c>
      <c r="C274" s="14">
        <v>0</v>
      </c>
      <c r="D274" s="14">
        <f t="shared" si="27"/>
        <v>0</v>
      </c>
      <c r="E274" s="14">
        <f t="shared" si="27"/>
        <v>0</v>
      </c>
      <c r="F274" s="14">
        <f t="shared" si="27"/>
        <v>0</v>
      </c>
      <c r="G274" s="13" t="s">
        <v>183</v>
      </c>
      <c r="H274" s="13">
        <v>0</v>
      </c>
      <c r="I274" s="13">
        <v>0</v>
      </c>
      <c r="J274" s="13">
        <v>13637.92</v>
      </c>
      <c r="K274" s="13" t="s">
        <v>187</v>
      </c>
      <c r="L274" s="13">
        <v>-13637.92</v>
      </c>
      <c r="M274" s="13">
        <v>0</v>
      </c>
      <c r="N274" s="18">
        <v>7.0000000000000007E-2</v>
      </c>
    </row>
    <row r="275" spans="1:14" hidden="1" x14ac:dyDescent="0.3">
      <c r="A275" s="13" t="s">
        <v>397</v>
      </c>
      <c r="B275" s="13" t="s">
        <v>11</v>
      </c>
      <c r="C275" s="14">
        <v>0</v>
      </c>
      <c r="D275" s="14">
        <f t="shared" si="27"/>
        <v>0</v>
      </c>
      <c r="E275" s="14">
        <f t="shared" si="27"/>
        <v>0</v>
      </c>
      <c r="F275" s="14">
        <f t="shared" si="27"/>
        <v>0</v>
      </c>
      <c r="G275" s="13" t="s">
        <v>183</v>
      </c>
      <c r="H275" s="13">
        <v>0</v>
      </c>
      <c r="I275" s="13">
        <v>0</v>
      </c>
      <c r="J275" s="13">
        <v>34094.800000000003</v>
      </c>
      <c r="K275" s="13" t="s">
        <v>187</v>
      </c>
      <c r="L275" s="13">
        <v>-34094.800000000003</v>
      </c>
      <c r="M275" s="13">
        <v>0</v>
      </c>
      <c r="N275" s="18">
        <v>7.0000000000000007E-2</v>
      </c>
    </row>
    <row r="276" spans="1:14" hidden="1" x14ac:dyDescent="0.3">
      <c r="A276" s="13" t="s">
        <v>398</v>
      </c>
      <c r="B276" s="13" t="s">
        <v>11</v>
      </c>
      <c r="C276" s="14">
        <v>0</v>
      </c>
      <c r="D276" s="14">
        <f t="shared" si="27"/>
        <v>0</v>
      </c>
      <c r="E276" s="14">
        <f t="shared" si="27"/>
        <v>0</v>
      </c>
      <c r="F276" s="14">
        <f t="shared" si="27"/>
        <v>0</v>
      </c>
      <c r="G276" s="13" t="s">
        <v>183</v>
      </c>
      <c r="H276" s="13">
        <v>0</v>
      </c>
      <c r="I276" s="13">
        <v>0</v>
      </c>
      <c r="J276" s="13">
        <v>20456.669999999998</v>
      </c>
      <c r="K276" s="13" t="s">
        <v>187</v>
      </c>
      <c r="L276" s="13">
        <v>-20456.669999999998</v>
      </c>
      <c r="M276" s="13">
        <v>0</v>
      </c>
      <c r="N276" s="18">
        <v>7.0000000000000007E-2</v>
      </c>
    </row>
    <row r="277" spans="1:14" hidden="1" x14ac:dyDescent="0.3">
      <c r="A277" s="13" t="s">
        <v>399</v>
      </c>
      <c r="B277" s="13" t="s">
        <v>11</v>
      </c>
      <c r="C277" s="14">
        <v>0</v>
      </c>
      <c r="D277" s="14">
        <f t="shared" si="27"/>
        <v>0</v>
      </c>
      <c r="E277" s="14">
        <f t="shared" si="27"/>
        <v>0</v>
      </c>
      <c r="F277" s="14">
        <f t="shared" si="27"/>
        <v>0</v>
      </c>
      <c r="G277" s="13" t="s">
        <v>183</v>
      </c>
      <c r="H277" s="13">
        <v>0</v>
      </c>
      <c r="I277" s="13">
        <v>0</v>
      </c>
      <c r="J277" s="13">
        <v>13637.92</v>
      </c>
      <c r="K277" s="13" t="s">
        <v>187</v>
      </c>
      <c r="L277" s="13">
        <v>-13637.92</v>
      </c>
      <c r="M277" s="13">
        <v>0</v>
      </c>
      <c r="N277" s="18">
        <v>7.0000000000000007E-2</v>
      </c>
    </row>
    <row r="278" spans="1:14" hidden="1" x14ac:dyDescent="0.3">
      <c r="A278" s="13" t="s">
        <v>400</v>
      </c>
      <c r="B278" s="13" t="s">
        <v>11</v>
      </c>
      <c r="C278" s="14">
        <v>0</v>
      </c>
      <c r="D278" s="14">
        <f t="shared" si="27"/>
        <v>0</v>
      </c>
      <c r="E278" s="14">
        <f t="shared" si="27"/>
        <v>0</v>
      </c>
      <c r="F278" s="14">
        <f t="shared" si="27"/>
        <v>0</v>
      </c>
      <c r="G278" s="13" t="s">
        <v>183</v>
      </c>
      <c r="H278" s="13">
        <v>0</v>
      </c>
      <c r="I278" s="13">
        <v>0</v>
      </c>
      <c r="J278" s="13">
        <v>27275.84</v>
      </c>
      <c r="K278" s="13" t="s">
        <v>187</v>
      </c>
      <c r="L278" s="13">
        <v>-27275.84</v>
      </c>
      <c r="M278" s="13">
        <v>0</v>
      </c>
      <c r="N278" s="18">
        <v>7.0000000000000007E-2</v>
      </c>
    </row>
    <row r="279" spans="1:14" x14ac:dyDescent="0.3">
      <c r="A279" s="13" t="s">
        <v>401</v>
      </c>
      <c r="B279" s="13" t="s">
        <v>11</v>
      </c>
      <c r="C279" s="14">
        <v>243150</v>
      </c>
      <c r="D279" s="14">
        <f t="shared" si="27"/>
        <v>260170.50000000003</v>
      </c>
      <c r="E279" s="14">
        <f t="shared" si="27"/>
        <v>278382.43500000006</v>
      </c>
      <c r="F279" s="14">
        <f t="shared" si="27"/>
        <v>297869.20545000007</v>
      </c>
      <c r="G279" s="13" t="s">
        <v>183</v>
      </c>
      <c r="H279" s="13">
        <v>0</v>
      </c>
      <c r="I279" s="13">
        <v>0</v>
      </c>
      <c r="J279" s="13">
        <v>51142.2</v>
      </c>
      <c r="K279" s="13" t="s">
        <v>187</v>
      </c>
      <c r="L279" s="13">
        <v>192007.8</v>
      </c>
      <c r="M279" s="13">
        <v>21.03</v>
      </c>
      <c r="N279" s="18">
        <v>7.0000000000000007E-2</v>
      </c>
    </row>
    <row r="280" spans="1:14" x14ac:dyDescent="0.3">
      <c r="A280" s="13" t="s">
        <v>402</v>
      </c>
      <c r="B280" s="13" t="s">
        <v>13</v>
      </c>
      <c r="C280" s="14">
        <v>342078</v>
      </c>
      <c r="D280" s="14">
        <f t="shared" si="27"/>
        <v>366023.46</v>
      </c>
      <c r="E280" s="14">
        <f t="shared" si="27"/>
        <v>391645.10220000002</v>
      </c>
      <c r="F280" s="14">
        <f t="shared" si="27"/>
        <v>419060.25935400004</v>
      </c>
      <c r="G280" s="13" t="s">
        <v>183</v>
      </c>
      <c r="H280" s="13">
        <v>0</v>
      </c>
      <c r="I280" s="13">
        <v>0</v>
      </c>
      <c r="J280" s="13">
        <v>77462.42</v>
      </c>
      <c r="K280" s="13" t="s">
        <v>187</v>
      </c>
      <c r="L280" s="13">
        <v>264615.58</v>
      </c>
      <c r="M280" s="13">
        <v>22.64</v>
      </c>
      <c r="N280" s="18">
        <v>7.0000000000000007E-2</v>
      </c>
    </row>
    <row r="281" spans="1:14" hidden="1" x14ac:dyDescent="0.3">
      <c r="A281" s="13" t="s">
        <v>403</v>
      </c>
      <c r="B281" s="13" t="s">
        <v>15</v>
      </c>
      <c r="C281" s="14">
        <v>0</v>
      </c>
      <c r="D281" s="14">
        <f t="shared" si="27"/>
        <v>0</v>
      </c>
      <c r="E281" s="14">
        <f t="shared" si="27"/>
        <v>0</v>
      </c>
      <c r="F281" s="14">
        <f t="shared" si="27"/>
        <v>0</v>
      </c>
      <c r="G281" s="13" t="s">
        <v>183</v>
      </c>
      <c r="H281" s="13">
        <v>0</v>
      </c>
      <c r="I281" s="13">
        <v>0</v>
      </c>
      <c r="J281" s="13">
        <v>273173.07</v>
      </c>
      <c r="K281" s="13" t="s">
        <v>187</v>
      </c>
      <c r="L281" s="13">
        <v>-273173.07</v>
      </c>
      <c r="M281" s="13">
        <v>0</v>
      </c>
      <c r="N281" s="18">
        <v>7.0000000000000007E-2</v>
      </c>
    </row>
    <row r="282" spans="1:14" hidden="1" x14ac:dyDescent="0.3">
      <c r="A282" s="13" t="s">
        <v>404</v>
      </c>
      <c r="B282" s="13" t="s">
        <v>15</v>
      </c>
      <c r="C282" s="14">
        <v>0</v>
      </c>
      <c r="D282" s="14">
        <f t="shared" si="27"/>
        <v>0</v>
      </c>
      <c r="E282" s="14">
        <f t="shared" si="27"/>
        <v>0</v>
      </c>
      <c r="F282" s="14">
        <f t="shared" si="27"/>
        <v>0</v>
      </c>
      <c r="G282" s="13" t="s">
        <v>183</v>
      </c>
      <c r="H282" s="13">
        <v>0</v>
      </c>
      <c r="I282" s="13">
        <v>0</v>
      </c>
      <c r="J282" s="13">
        <v>606839.11</v>
      </c>
      <c r="K282" s="13" t="s">
        <v>187</v>
      </c>
      <c r="L282" s="13">
        <v>-606839.11</v>
      </c>
      <c r="M282" s="13">
        <v>0</v>
      </c>
      <c r="N282" s="18">
        <v>7.0000000000000007E-2</v>
      </c>
    </row>
    <row r="283" spans="1:14" hidden="1" x14ac:dyDescent="0.3">
      <c r="A283" s="13" t="s">
        <v>405</v>
      </c>
      <c r="B283" s="13" t="s">
        <v>15</v>
      </c>
      <c r="C283" s="14">
        <v>0</v>
      </c>
      <c r="D283" s="14">
        <f t="shared" si="27"/>
        <v>0</v>
      </c>
      <c r="E283" s="14">
        <f t="shared" si="27"/>
        <v>0</v>
      </c>
      <c r="F283" s="14">
        <f t="shared" si="27"/>
        <v>0</v>
      </c>
      <c r="G283" s="13" t="s">
        <v>183</v>
      </c>
      <c r="H283" s="13">
        <v>0</v>
      </c>
      <c r="I283" s="13">
        <v>0</v>
      </c>
      <c r="J283" s="13">
        <v>400649.86</v>
      </c>
      <c r="K283" s="13" t="s">
        <v>187</v>
      </c>
      <c r="L283" s="13">
        <v>-400649.86</v>
      </c>
      <c r="M283" s="13">
        <v>0</v>
      </c>
      <c r="N283" s="18">
        <v>7.0000000000000007E-2</v>
      </c>
    </row>
    <row r="284" spans="1:14" hidden="1" x14ac:dyDescent="0.3">
      <c r="A284" s="13" t="s">
        <v>406</v>
      </c>
      <c r="B284" s="13" t="s">
        <v>15</v>
      </c>
      <c r="C284" s="14">
        <v>0</v>
      </c>
      <c r="D284" s="14">
        <f t="shared" ref="D284:F300" si="28">C284*1.07</f>
        <v>0</v>
      </c>
      <c r="E284" s="14">
        <f t="shared" si="28"/>
        <v>0</v>
      </c>
      <c r="F284" s="14">
        <f t="shared" si="28"/>
        <v>0</v>
      </c>
      <c r="G284" s="13" t="s">
        <v>183</v>
      </c>
      <c r="H284" s="13">
        <v>0</v>
      </c>
      <c r="I284" s="13">
        <v>0</v>
      </c>
      <c r="J284" s="13">
        <v>118636.56</v>
      </c>
      <c r="K284" s="13" t="s">
        <v>187</v>
      </c>
      <c r="L284" s="13">
        <v>-118636.56</v>
      </c>
      <c r="M284" s="13">
        <v>0</v>
      </c>
      <c r="N284" s="18">
        <v>7.0000000000000007E-2</v>
      </c>
    </row>
    <row r="285" spans="1:14" hidden="1" x14ac:dyDescent="0.3">
      <c r="A285" s="13" t="s">
        <v>407</v>
      </c>
      <c r="B285" s="13" t="s">
        <v>15</v>
      </c>
      <c r="C285" s="14">
        <v>0</v>
      </c>
      <c r="D285" s="14">
        <f t="shared" si="28"/>
        <v>0</v>
      </c>
      <c r="E285" s="14">
        <f t="shared" si="28"/>
        <v>0</v>
      </c>
      <c r="F285" s="14">
        <f t="shared" si="28"/>
        <v>0</v>
      </c>
      <c r="G285" s="13" t="s">
        <v>183</v>
      </c>
      <c r="H285" s="13">
        <v>0</v>
      </c>
      <c r="I285" s="13">
        <v>0</v>
      </c>
      <c r="J285" s="13">
        <v>326465.34000000003</v>
      </c>
      <c r="K285" s="13" t="s">
        <v>187</v>
      </c>
      <c r="L285" s="13">
        <v>-326465.34000000003</v>
      </c>
      <c r="M285" s="13">
        <v>0</v>
      </c>
      <c r="N285" s="18">
        <v>7.0000000000000007E-2</v>
      </c>
    </row>
    <row r="286" spans="1:14" x14ac:dyDescent="0.3">
      <c r="A286" s="13" t="s">
        <v>408</v>
      </c>
      <c r="B286" s="13" t="s">
        <v>15</v>
      </c>
      <c r="C286" s="14">
        <v>3087400</v>
      </c>
      <c r="D286" s="14">
        <f t="shared" si="28"/>
        <v>3303518</v>
      </c>
      <c r="E286" s="14">
        <f t="shared" si="28"/>
        <v>3534764.2600000002</v>
      </c>
      <c r="F286" s="14">
        <f t="shared" si="28"/>
        <v>3782197.7582000005</v>
      </c>
      <c r="G286" s="13" t="s">
        <v>183</v>
      </c>
      <c r="H286" s="13">
        <v>0</v>
      </c>
      <c r="I286" s="13">
        <v>0</v>
      </c>
      <c r="J286" s="13">
        <v>1281567.08</v>
      </c>
      <c r="K286" s="13" t="s">
        <v>187</v>
      </c>
      <c r="L286" s="13">
        <v>1805832.92</v>
      </c>
      <c r="M286" s="13">
        <v>41.5</v>
      </c>
      <c r="N286" s="18">
        <v>7.0000000000000007E-2</v>
      </c>
    </row>
    <row r="287" spans="1:14" x14ac:dyDescent="0.3">
      <c r="A287" s="13" t="s">
        <v>409</v>
      </c>
      <c r="B287" s="13" t="s">
        <v>16</v>
      </c>
      <c r="C287" s="14">
        <v>4600000</v>
      </c>
      <c r="D287" s="14">
        <v>0</v>
      </c>
      <c r="E287" s="14">
        <f t="shared" si="28"/>
        <v>0</v>
      </c>
      <c r="F287" s="14">
        <f t="shared" si="28"/>
        <v>0</v>
      </c>
      <c r="G287" s="13" t="s">
        <v>183</v>
      </c>
      <c r="H287" s="13">
        <v>0</v>
      </c>
      <c r="I287" s="13">
        <v>0</v>
      </c>
      <c r="J287" s="13">
        <v>0</v>
      </c>
      <c r="K287" s="13" t="s">
        <v>187</v>
      </c>
      <c r="L287" s="13">
        <v>4600000</v>
      </c>
      <c r="M287" s="13">
        <v>0</v>
      </c>
      <c r="N287" s="18">
        <v>7.0000000000000007E-2</v>
      </c>
    </row>
    <row r="288" spans="1:14" x14ac:dyDescent="0.3">
      <c r="A288" s="13" t="s">
        <v>385</v>
      </c>
      <c r="B288" s="13" t="s">
        <v>410</v>
      </c>
      <c r="D288" s="20">
        <v>9001607.2799999993</v>
      </c>
      <c r="E288" s="14">
        <f>D288*1.052</f>
        <v>9469690.8585599996</v>
      </c>
      <c r="F288" s="14">
        <f t="shared" si="28"/>
        <v>10132569.2186592</v>
      </c>
    </row>
    <row r="289" spans="1:14" hidden="1" x14ac:dyDescent="0.3">
      <c r="A289" s="13" t="s">
        <v>411</v>
      </c>
      <c r="B289" s="13" t="s">
        <v>18</v>
      </c>
      <c r="C289" s="14">
        <v>0</v>
      </c>
      <c r="D289" s="14">
        <f t="shared" si="28"/>
        <v>0</v>
      </c>
      <c r="E289" s="14">
        <f t="shared" si="28"/>
        <v>0</v>
      </c>
      <c r="F289" s="14">
        <f t="shared" si="28"/>
        <v>0</v>
      </c>
      <c r="G289" s="13" t="s">
        <v>183</v>
      </c>
      <c r="H289" s="13">
        <v>0</v>
      </c>
      <c r="I289" s="13">
        <v>0</v>
      </c>
      <c r="J289" s="13">
        <v>642254.18000000005</v>
      </c>
      <c r="K289" s="13" t="s">
        <v>187</v>
      </c>
      <c r="L289" s="13">
        <v>-642254.18000000005</v>
      </c>
      <c r="M289" s="13">
        <v>0</v>
      </c>
      <c r="N289" s="18">
        <v>7.0000000000000007E-2</v>
      </c>
    </row>
    <row r="290" spans="1:14" hidden="1" x14ac:dyDescent="0.3">
      <c r="A290" s="13" t="s">
        <v>412</v>
      </c>
      <c r="B290" s="13" t="s">
        <v>18</v>
      </c>
      <c r="C290" s="14">
        <v>0</v>
      </c>
      <c r="D290" s="14">
        <f t="shared" si="28"/>
        <v>0</v>
      </c>
      <c r="E290" s="14">
        <f t="shared" si="28"/>
        <v>0</v>
      </c>
      <c r="F290" s="14">
        <f t="shared" si="28"/>
        <v>0</v>
      </c>
      <c r="G290" s="13" t="s">
        <v>183</v>
      </c>
      <c r="H290" s="13">
        <v>0</v>
      </c>
      <c r="I290" s="13">
        <v>0</v>
      </c>
      <c r="J290" s="13">
        <v>1205353.74</v>
      </c>
      <c r="K290" s="13" t="s">
        <v>187</v>
      </c>
      <c r="L290" s="13">
        <v>-1205353.74</v>
      </c>
      <c r="M290" s="13">
        <v>0</v>
      </c>
      <c r="N290" s="18">
        <v>7.0000000000000007E-2</v>
      </c>
    </row>
    <row r="291" spans="1:14" hidden="1" x14ac:dyDescent="0.3">
      <c r="A291" s="13" t="s">
        <v>413</v>
      </c>
      <c r="B291" s="13" t="s">
        <v>18</v>
      </c>
      <c r="C291" s="14">
        <v>0</v>
      </c>
      <c r="D291" s="14">
        <f t="shared" si="28"/>
        <v>0</v>
      </c>
      <c r="E291" s="14">
        <f t="shared" si="28"/>
        <v>0</v>
      </c>
      <c r="F291" s="14">
        <f t="shared" si="28"/>
        <v>0</v>
      </c>
      <c r="G291" s="13" t="s">
        <v>183</v>
      </c>
      <c r="H291" s="13">
        <v>0</v>
      </c>
      <c r="I291" s="13">
        <v>0</v>
      </c>
      <c r="J291" s="13">
        <v>1406928.75</v>
      </c>
      <c r="K291" s="13" t="s">
        <v>187</v>
      </c>
      <c r="L291" s="13">
        <v>-1406928.75</v>
      </c>
      <c r="M291" s="13">
        <v>0</v>
      </c>
      <c r="N291" s="18">
        <v>7.0000000000000007E-2</v>
      </c>
    </row>
    <row r="292" spans="1:14" hidden="1" x14ac:dyDescent="0.3">
      <c r="A292" s="13" t="s">
        <v>414</v>
      </c>
      <c r="B292" s="13" t="s">
        <v>18</v>
      </c>
      <c r="C292" s="14">
        <v>0</v>
      </c>
      <c r="D292" s="14">
        <f t="shared" si="28"/>
        <v>0</v>
      </c>
      <c r="E292" s="14">
        <f t="shared" si="28"/>
        <v>0</v>
      </c>
      <c r="F292" s="14">
        <f t="shared" si="28"/>
        <v>0</v>
      </c>
      <c r="G292" s="13" t="s">
        <v>183</v>
      </c>
      <c r="H292" s="13">
        <v>0</v>
      </c>
      <c r="I292" s="13">
        <v>0</v>
      </c>
      <c r="J292" s="13">
        <v>915224.67</v>
      </c>
      <c r="K292" s="13" t="s">
        <v>187</v>
      </c>
      <c r="L292" s="13">
        <v>-915224.67</v>
      </c>
      <c r="M292" s="13">
        <v>0</v>
      </c>
      <c r="N292" s="18">
        <v>7.0000000000000007E-2</v>
      </c>
    </row>
    <row r="293" spans="1:14" hidden="1" x14ac:dyDescent="0.3">
      <c r="A293" s="13" t="s">
        <v>415</v>
      </c>
      <c r="B293" s="13" t="s">
        <v>18</v>
      </c>
      <c r="C293" s="14">
        <v>0</v>
      </c>
      <c r="D293" s="14">
        <f t="shared" si="28"/>
        <v>0</v>
      </c>
      <c r="E293" s="14">
        <f t="shared" si="28"/>
        <v>0</v>
      </c>
      <c r="F293" s="14">
        <f t="shared" si="28"/>
        <v>0</v>
      </c>
      <c r="G293" s="13" t="s">
        <v>183</v>
      </c>
      <c r="H293" s="13">
        <v>0</v>
      </c>
      <c r="I293" s="13">
        <v>0</v>
      </c>
      <c r="J293" s="13">
        <v>836930.73</v>
      </c>
      <c r="K293" s="13" t="s">
        <v>187</v>
      </c>
      <c r="L293" s="13">
        <v>-836930.73</v>
      </c>
      <c r="M293" s="13">
        <v>0</v>
      </c>
      <c r="N293" s="18">
        <v>7.0000000000000007E-2</v>
      </c>
    </row>
    <row r="294" spans="1:14" hidden="1" x14ac:dyDescent="0.3">
      <c r="A294" s="13" t="s">
        <v>416</v>
      </c>
      <c r="B294" s="13" t="s">
        <v>20</v>
      </c>
      <c r="C294" s="14">
        <v>0</v>
      </c>
      <c r="D294" s="14">
        <f t="shared" si="28"/>
        <v>0</v>
      </c>
      <c r="E294" s="14">
        <f t="shared" si="28"/>
        <v>0</v>
      </c>
      <c r="F294" s="14">
        <f t="shared" si="28"/>
        <v>0</v>
      </c>
      <c r="G294" s="13" t="s">
        <v>183</v>
      </c>
      <c r="H294" s="13">
        <v>0</v>
      </c>
      <c r="I294" s="13">
        <v>0</v>
      </c>
      <c r="J294" s="13">
        <v>127546.63</v>
      </c>
      <c r="K294" s="13" t="s">
        <v>187</v>
      </c>
      <c r="L294" s="13">
        <v>-127546.63</v>
      </c>
      <c r="M294" s="13">
        <v>0</v>
      </c>
      <c r="N294" s="18">
        <v>7.0000000000000007E-2</v>
      </c>
    </row>
    <row r="295" spans="1:14" hidden="1" x14ac:dyDescent="0.3">
      <c r="A295" s="13" t="s">
        <v>417</v>
      </c>
      <c r="B295" s="13" t="s">
        <v>20</v>
      </c>
      <c r="C295" s="14">
        <v>0</v>
      </c>
      <c r="D295" s="14">
        <f t="shared" si="28"/>
        <v>0</v>
      </c>
      <c r="E295" s="14">
        <f t="shared" si="28"/>
        <v>0</v>
      </c>
      <c r="F295" s="14">
        <f t="shared" si="28"/>
        <v>0</v>
      </c>
      <c r="G295" s="13" t="s">
        <v>183</v>
      </c>
      <c r="H295" s="13">
        <v>0</v>
      </c>
      <c r="I295" s="13">
        <v>0</v>
      </c>
      <c r="J295" s="13">
        <v>190694.03</v>
      </c>
      <c r="K295" s="13" t="s">
        <v>187</v>
      </c>
      <c r="L295" s="13">
        <v>-190694.03</v>
      </c>
      <c r="M295" s="13">
        <v>0</v>
      </c>
      <c r="N295" s="18">
        <v>7.0000000000000007E-2</v>
      </c>
    </row>
    <row r="296" spans="1:14" hidden="1" x14ac:dyDescent="0.3">
      <c r="A296" s="13" t="s">
        <v>418</v>
      </c>
      <c r="B296" s="13" t="s">
        <v>20</v>
      </c>
      <c r="C296" s="14">
        <v>0</v>
      </c>
      <c r="D296" s="14">
        <f t="shared" si="28"/>
        <v>0</v>
      </c>
      <c r="E296" s="14">
        <f t="shared" si="28"/>
        <v>0</v>
      </c>
      <c r="F296" s="14">
        <f t="shared" si="28"/>
        <v>0</v>
      </c>
      <c r="G296" s="13" t="s">
        <v>183</v>
      </c>
      <c r="H296" s="13">
        <v>0</v>
      </c>
      <c r="I296" s="13">
        <v>0</v>
      </c>
      <c r="J296" s="13">
        <v>352044.34</v>
      </c>
      <c r="K296" s="13" t="s">
        <v>187</v>
      </c>
      <c r="L296" s="13">
        <v>-352044.34</v>
      </c>
      <c r="M296" s="13">
        <v>0</v>
      </c>
      <c r="N296" s="18">
        <v>7.0000000000000007E-2</v>
      </c>
    </row>
    <row r="297" spans="1:14" hidden="1" x14ac:dyDescent="0.3">
      <c r="A297" s="13" t="s">
        <v>419</v>
      </c>
      <c r="B297" s="13" t="s">
        <v>20</v>
      </c>
      <c r="C297" s="14">
        <v>0</v>
      </c>
      <c r="D297" s="14">
        <f t="shared" si="28"/>
        <v>0</v>
      </c>
      <c r="E297" s="14">
        <f t="shared" si="28"/>
        <v>0</v>
      </c>
      <c r="F297" s="14">
        <f t="shared" si="28"/>
        <v>0</v>
      </c>
      <c r="G297" s="13" t="s">
        <v>183</v>
      </c>
      <c r="H297" s="13">
        <v>0</v>
      </c>
      <c r="I297" s="13">
        <v>0</v>
      </c>
      <c r="J297" s="13">
        <v>217993.44</v>
      </c>
      <c r="K297" s="13" t="s">
        <v>187</v>
      </c>
      <c r="L297" s="13">
        <v>-217993.44</v>
      </c>
      <c r="M297" s="13">
        <v>0</v>
      </c>
      <c r="N297" s="18">
        <v>7.0000000000000007E-2</v>
      </c>
    </row>
    <row r="298" spans="1:14" x14ac:dyDescent="0.3">
      <c r="A298" s="13" t="s">
        <v>420</v>
      </c>
      <c r="B298" s="13" t="s">
        <v>20</v>
      </c>
      <c r="C298" s="14">
        <v>1100000</v>
      </c>
      <c r="E298" s="14">
        <f t="shared" si="28"/>
        <v>0</v>
      </c>
      <c r="F298" s="14">
        <f t="shared" si="28"/>
        <v>0</v>
      </c>
      <c r="G298" s="13" t="s">
        <v>183</v>
      </c>
      <c r="H298" s="13">
        <v>0</v>
      </c>
      <c r="I298" s="13">
        <v>0</v>
      </c>
      <c r="J298" s="13">
        <v>124205.11</v>
      </c>
      <c r="K298" s="13" t="s">
        <v>187</v>
      </c>
      <c r="L298" s="13">
        <v>975794.89</v>
      </c>
      <c r="M298" s="13">
        <v>11.29</v>
      </c>
      <c r="N298" s="18">
        <v>7.0000000000000007E-2</v>
      </c>
    </row>
    <row r="299" spans="1:14" hidden="1" x14ac:dyDescent="0.3">
      <c r="A299" s="13" t="s">
        <v>421</v>
      </c>
      <c r="B299" s="13" t="s">
        <v>422</v>
      </c>
      <c r="C299" s="14">
        <v>0</v>
      </c>
      <c r="E299" s="14">
        <f t="shared" si="28"/>
        <v>0</v>
      </c>
      <c r="F299" s="14">
        <f t="shared" si="28"/>
        <v>0</v>
      </c>
      <c r="G299" s="13" t="s">
        <v>183</v>
      </c>
      <c r="H299" s="13">
        <v>0</v>
      </c>
      <c r="I299" s="13">
        <v>0</v>
      </c>
      <c r="J299" s="13">
        <v>29065.439999999999</v>
      </c>
      <c r="K299" s="13" t="s">
        <v>187</v>
      </c>
      <c r="L299" s="13">
        <v>-29065.439999999999</v>
      </c>
      <c r="M299" s="13">
        <v>0</v>
      </c>
      <c r="N299" s="18">
        <v>7.0000000000000007E-2</v>
      </c>
    </row>
    <row r="300" spans="1:14" hidden="1" x14ac:dyDescent="0.3">
      <c r="A300" s="13" t="s">
        <v>423</v>
      </c>
      <c r="B300" s="13" t="s">
        <v>129</v>
      </c>
      <c r="C300" s="14">
        <v>0</v>
      </c>
      <c r="D300" s="14">
        <f t="shared" si="28"/>
        <v>0</v>
      </c>
      <c r="E300" s="14">
        <f t="shared" si="28"/>
        <v>0</v>
      </c>
      <c r="F300" s="14">
        <f t="shared" si="28"/>
        <v>0</v>
      </c>
      <c r="G300" s="13" t="s">
        <v>183</v>
      </c>
      <c r="H300" s="13">
        <v>0</v>
      </c>
      <c r="I300" s="13">
        <v>0</v>
      </c>
      <c r="J300" s="13">
        <v>121330.25</v>
      </c>
      <c r="K300" s="13" t="s">
        <v>187</v>
      </c>
      <c r="L300" s="13">
        <v>-121330.25</v>
      </c>
      <c r="M300" s="13">
        <v>0</v>
      </c>
      <c r="N300" s="18">
        <v>7.0000000000000007E-2</v>
      </c>
    </row>
    <row r="301" spans="1:14" hidden="1" x14ac:dyDescent="0.3">
      <c r="A301" s="13" t="s">
        <v>424</v>
      </c>
      <c r="B301" s="13" t="s">
        <v>129</v>
      </c>
      <c r="C301" s="14">
        <v>0</v>
      </c>
      <c r="D301" s="14">
        <f t="shared" ref="D301:F316" si="29">C301*1.07</f>
        <v>0</v>
      </c>
      <c r="E301" s="14">
        <f t="shared" si="29"/>
        <v>0</v>
      </c>
      <c r="F301" s="14">
        <f t="shared" si="29"/>
        <v>0</v>
      </c>
      <c r="G301" s="13" t="s">
        <v>183</v>
      </c>
      <c r="H301" s="13">
        <v>0</v>
      </c>
      <c r="I301" s="13">
        <v>0</v>
      </c>
      <c r="J301" s="13">
        <v>75535.89</v>
      </c>
      <c r="K301" s="13" t="s">
        <v>187</v>
      </c>
      <c r="L301" s="13">
        <v>-75535.89</v>
      </c>
      <c r="M301" s="13">
        <v>0</v>
      </c>
      <c r="N301" s="18">
        <v>7.0000000000000007E-2</v>
      </c>
    </row>
    <row r="302" spans="1:14" x14ac:dyDescent="0.3">
      <c r="A302" s="13" t="s">
        <v>425</v>
      </c>
      <c r="B302" s="13" t="s">
        <v>129</v>
      </c>
      <c r="C302" s="14">
        <v>420000</v>
      </c>
      <c r="E302" s="14">
        <f t="shared" si="29"/>
        <v>0</v>
      </c>
      <c r="F302" s="14">
        <f t="shared" si="29"/>
        <v>0</v>
      </c>
      <c r="G302" s="13" t="s">
        <v>183</v>
      </c>
      <c r="H302" s="13">
        <v>0</v>
      </c>
      <c r="I302" s="13">
        <v>0</v>
      </c>
      <c r="J302" s="13">
        <v>135438.1</v>
      </c>
      <c r="K302" s="13" t="s">
        <v>187</v>
      </c>
      <c r="L302" s="13">
        <v>284561.90000000002</v>
      </c>
      <c r="M302" s="13">
        <v>32.24</v>
      </c>
      <c r="N302" s="18">
        <v>7.0000000000000007E-2</v>
      </c>
    </row>
    <row r="303" spans="1:14" x14ac:dyDescent="0.3">
      <c r="A303" s="13" t="s">
        <v>426</v>
      </c>
      <c r="B303" s="13" t="s">
        <v>22</v>
      </c>
      <c r="C303" s="14">
        <v>20000</v>
      </c>
      <c r="D303" s="14">
        <v>0</v>
      </c>
      <c r="G303" s="13" t="s">
        <v>183</v>
      </c>
      <c r="H303" s="13">
        <v>0</v>
      </c>
      <c r="I303" s="13">
        <v>0</v>
      </c>
      <c r="J303" s="13">
        <v>10000</v>
      </c>
      <c r="K303" s="13" t="s">
        <v>187</v>
      </c>
      <c r="L303" s="13">
        <v>10000</v>
      </c>
      <c r="M303" s="13">
        <v>50</v>
      </c>
      <c r="N303" s="18">
        <v>7.0000000000000007E-2</v>
      </c>
    </row>
    <row r="304" spans="1:14" x14ac:dyDescent="0.3">
      <c r="A304" s="13" t="s">
        <v>427</v>
      </c>
      <c r="B304" s="13" t="s">
        <v>22</v>
      </c>
      <c r="C304" s="14">
        <v>20000</v>
      </c>
      <c r="D304" s="14">
        <v>100000</v>
      </c>
      <c r="E304" s="14">
        <f t="shared" si="29"/>
        <v>107000</v>
      </c>
      <c r="F304" s="14">
        <f t="shared" si="29"/>
        <v>114490</v>
      </c>
      <c r="G304" s="13" t="s">
        <v>183</v>
      </c>
      <c r="H304" s="13">
        <v>0</v>
      </c>
      <c r="I304" s="13">
        <v>0</v>
      </c>
      <c r="J304" s="13">
        <v>10000</v>
      </c>
      <c r="K304" s="13" t="s">
        <v>187</v>
      </c>
      <c r="L304" s="13">
        <v>10000</v>
      </c>
      <c r="M304" s="13">
        <v>50</v>
      </c>
      <c r="N304" s="18">
        <v>7.0000000000000007E-2</v>
      </c>
    </row>
    <row r="305" spans="1:14" x14ac:dyDescent="0.3">
      <c r="A305" s="13" t="s">
        <v>428</v>
      </c>
      <c r="B305" s="13" t="s">
        <v>24</v>
      </c>
      <c r="C305" s="14">
        <v>11919</v>
      </c>
      <c r="D305" s="14">
        <f t="shared" si="29"/>
        <v>12753.33</v>
      </c>
      <c r="E305" s="14">
        <f t="shared" si="29"/>
        <v>13646.063100000001</v>
      </c>
      <c r="F305" s="14">
        <f t="shared" si="29"/>
        <v>14601.287517000002</v>
      </c>
      <c r="G305" s="13" t="s">
        <v>183</v>
      </c>
      <c r="H305" s="13">
        <v>0</v>
      </c>
      <c r="I305" s="13">
        <v>0</v>
      </c>
      <c r="J305" s="13">
        <v>7489.5</v>
      </c>
      <c r="K305" s="13" t="s">
        <v>187</v>
      </c>
      <c r="L305" s="13">
        <v>4429.5</v>
      </c>
      <c r="M305" s="13">
        <v>62.83</v>
      </c>
      <c r="N305" s="18">
        <v>7.0000000000000007E-2</v>
      </c>
    </row>
    <row r="306" spans="1:14" x14ac:dyDescent="0.3">
      <c r="A306" s="13" t="s">
        <v>429</v>
      </c>
      <c r="B306" s="13" t="s">
        <v>27</v>
      </c>
      <c r="C306" s="14">
        <v>166696</v>
      </c>
      <c r="D306" s="14">
        <f t="shared" si="29"/>
        <v>178364.72</v>
      </c>
      <c r="E306" s="14">
        <f t="shared" si="29"/>
        <v>190850.25040000002</v>
      </c>
      <c r="F306" s="14">
        <f t="shared" si="29"/>
        <v>204209.76792800004</v>
      </c>
      <c r="G306" s="13" t="s">
        <v>183</v>
      </c>
      <c r="H306" s="13">
        <v>0</v>
      </c>
      <c r="I306" s="13">
        <v>0</v>
      </c>
      <c r="J306" s="13">
        <v>110350.63</v>
      </c>
      <c r="K306" s="13" t="s">
        <v>187</v>
      </c>
      <c r="L306" s="13">
        <v>56345.37</v>
      </c>
      <c r="M306" s="13">
        <v>66.19</v>
      </c>
      <c r="N306" s="18">
        <v>7.0000000000000007E-2</v>
      </c>
    </row>
    <row r="307" spans="1:14" x14ac:dyDescent="0.3">
      <c r="A307" s="13" t="s">
        <v>430</v>
      </c>
      <c r="B307" s="13" t="s">
        <v>29</v>
      </c>
      <c r="C307" s="14">
        <v>2624752</v>
      </c>
      <c r="D307" s="14">
        <f t="shared" si="29"/>
        <v>2808484.64</v>
      </c>
      <c r="E307" s="14">
        <f t="shared" si="29"/>
        <v>3005078.5648000003</v>
      </c>
      <c r="F307" s="14">
        <f t="shared" si="29"/>
        <v>3215434.0643360005</v>
      </c>
      <c r="G307" s="13" t="s">
        <v>183</v>
      </c>
      <c r="H307" s="13">
        <v>0</v>
      </c>
      <c r="I307" s="13">
        <v>0</v>
      </c>
      <c r="J307" s="13">
        <v>1797817.85</v>
      </c>
      <c r="K307" s="13" t="s">
        <v>187</v>
      </c>
      <c r="L307" s="13">
        <v>826934.15</v>
      </c>
      <c r="M307" s="13">
        <v>68.489999999999995</v>
      </c>
      <c r="N307" s="18">
        <v>7.0000000000000007E-2</v>
      </c>
    </row>
    <row r="308" spans="1:14" x14ac:dyDescent="0.3">
      <c r="A308" s="13" t="s">
        <v>431</v>
      </c>
      <c r="B308" s="13" t="s">
        <v>31</v>
      </c>
      <c r="C308" s="14">
        <v>5432133</v>
      </c>
      <c r="D308" s="14">
        <f t="shared" si="29"/>
        <v>5812382.3100000005</v>
      </c>
      <c r="E308" s="14">
        <f t="shared" si="29"/>
        <v>6219249.0717000011</v>
      </c>
      <c r="F308" s="14">
        <f t="shared" si="29"/>
        <v>6654596.5067190016</v>
      </c>
      <c r="G308" s="13" t="s">
        <v>183</v>
      </c>
      <c r="H308" s="13">
        <v>0</v>
      </c>
      <c r="I308" s="13">
        <v>0</v>
      </c>
      <c r="J308" s="13">
        <v>3652194.92</v>
      </c>
      <c r="K308" s="13" t="s">
        <v>187</v>
      </c>
      <c r="L308" s="13">
        <v>1779938.08</v>
      </c>
      <c r="M308" s="13">
        <v>67.23</v>
      </c>
      <c r="N308" s="18">
        <v>7.0000000000000007E-2</v>
      </c>
    </row>
    <row r="309" spans="1:14" x14ac:dyDescent="0.3">
      <c r="A309" s="13" t="s">
        <v>432</v>
      </c>
      <c r="B309" s="13" t="s">
        <v>33</v>
      </c>
      <c r="C309" s="14">
        <v>195939</v>
      </c>
      <c r="D309" s="14">
        <f t="shared" si="29"/>
        <v>209654.73</v>
      </c>
      <c r="E309" s="14">
        <f t="shared" si="29"/>
        <v>224330.56110000002</v>
      </c>
      <c r="F309" s="14">
        <f t="shared" si="29"/>
        <v>240033.70037700003</v>
      </c>
      <c r="G309" s="13" t="s">
        <v>183</v>
      </c>
      <c r="H309" s="13">
        <v>0</v>
      </c>
      <c r="I309" s="13">
        <v>0</v>
      </c>
      <c r="J309" s="13">
        <v>127832.9</v>
      </c>
      <c r="K309" s="13" t="s">
        <v>187</v>
      </c>
      <c r="L309" s="13">
        <v>68106.100000000006</v>
      </c>
      <c r="M309" s="13">
        <v>65.239999999999995</v>
      </c>
      <c r="N309" s="18">
        <v>7.0000000000000007E-2</v>
      </c>
    </row>
    <row r="310" spans="1:14" x14ac:dyDescent="0.3">
      <c r="A310" s="13" t="s">
        <v>433</v>
      </c>
      <c r="B310" s="13" t="s">
        <v>35</v>
      </c>
      <c r="C310" s="14">
        <v>108400</v>
      </c>
      <c r="D310" s="14">
        <f t="shared" si="29"/>
        <v>115988</v>
      </c>
      <c r="E310" s="14">
        <f t="shared" si="29"/>
        <v>124107.16</v>
      </c>
      <c r="F310" s="14">
        <f t="shared" si="29"/>
        <v>132794.6612</v>
      </c>
      <c r="G310" s="13" t="s">
        <v>183</v>
      </c>
      <c r="H310" s="13">
        <v>0</v>
      </c>
      <c r="I310" s="13">
        <v>0</v>
      </c>
      <c r="J310" s="13">
        <v>84194.18</v>
      </c>
      <c r="K310" s="13" t="s">
        <v>187</v>
      </c>
      <c r="L310" s="13">
        <v>24205.82</v>
      </c>
      <c r="M310" s="13">
        <v>77.66</v>
      </c>
      <c r="N310" s="18">
        <v>7.0000000000000007E-2</v>
      </c>
    </row>
    <row r="311" spans="1:14" x14ac:dyDescent="0.3">
      <c r="A311" s="13" t="s">
        <v>434</v>
      </c>
      <c r="B311" s="13" t="s">
        <v>84</v>
      </c>
      <c r="C311" s="14">
        <v>2000</v>
      </c>
      <c r="D311" s="14">
        <f>C311*1.056</f>
        <v>2112</v>
      </c>
      <c r="E311" s="14">
        <f>D311*1.054</f>
        <v>2226.0480000000002</v>
      </c>
      <c r="F311" s="14">
        <f t="shared" si="29"/>
        <v>2381.8713600000005</v>
      </c>
      <c r="G311" s="13" t="s">
        <v>183</v>
      </c>
      <c r="H311" s="13">
        <v>0</v>
      </c>
      <c r="I311" s="13">
        <v>0</v>
      </c>
      <c r="J311" s="13">
        <v>0</v>
      </c>
      <c r="K311" s="13" t="s">
        <v>187</v>
      </c>
      <c r="L311" s="13">
        <v>2000</v>
      </c>
      <c r="M311" s="13">
        <v>0</v>
      </c>
      <c r="N311" s="19">
        <v>5.6000000000000001E-2</v>
      </c>
    </row>
    <row r="312" spans="1:14" x14ac:dyDescent="0.3">
      <c r="A312" s="13" t="s">
        <v>435</v>
      </c>
      <c r="B312" s="13" t="s">
        <v>84</v>
      </c>
      <c r="C312" s="14">
        <v>10000</v>
      </c>
      <c r="D312" s="14">
        <v>10000</v>
      </c>
      <c r="E312" s="14">
        <f t="shared" ref="E312:E323" si="30">D312*1.054</f>
        <v>10540</v>
      </c>
      <c r="F312" s="14">
        <f t="shared" si="29"/>
        <v>11277.800000000001</v>
      </c>
      <c r="G312" s="13" t="s">
        <v>183</v>
      </c>
      <c r="H312" s="13">
        <v>0</v>
      </c>
      <c r="I312" s="13">
        <v>0</v>
      </c>
      <c r="J312" s="13">
        <v>3552.67</v>
      </c>
      <c r="K312" s="13" t="s">
        <v>187</v>
      </c>
      <c r="L312" s="13">
        <v>6447.33</v>
      </c>
      <c r="M312" s="13">
        <v>35.520000000000003</v>
      </c>
      <c r="N312" s="19">
        <v>5.6000000000000001E-2</v>
      </c>
    </row>
    <row r="313" spans="1:14" x14ac:dyDescent="0.3">
      <c r="A313" s="13" t="s">
        <v>436</v>
      </c>
      <c r="B313" s="13" t="s">
        <v>84</v>
      </c>
      <c r="C313" s="14">
        <v>20400</v>
      </c>
      <c r="D313" s="14">
        <f t="shared" ref="D313:D323" si="31">C313*1.056</f>
        <v>21542.400000000001</v>
      </c>
      <c r="E313" s="14">
        <f t="shared" si="30"/>
        <v>22705.689600000002</v>
      </c>
      <c r="F313" s="14">
        <f t="shared" si="29"/>
        <v>24295.087872000004</v>
      </c>
      <c r="G313" s="13" t="s">
        <v>183</v>
      </c>
      <c r="H313" s="13">
        <v>0</v>
      </c>
      <c r="I313" s="13">
        <v>0</v>
      </c>
      <c r="J313" s="13">
        <v>399.95</v>
      </c>
      <c r="K313" s="13" t="s">
        <v>187</v>
      </c>
      <c r="L313" s="13">
        <v>20000.05</v>
      </c>
      <c r="M313" s="13">
        <v>1.96</v>
      </c>
      <c r="N313" s="19">
        <v>5.6000000000000001E-2</v>
      </c>
    </row>
    <row r="314" spans="1:14" x14ac:dyDescent="0.3">
      <c r="A314" s="13" t="s">
        <v>437</v>
      </c>
      <c r="B314" s="13" t="s">
        <v>438</v>
      </c>
      <c r="C314" s="14">
        <v>0</v>
      </c>
      <c r="D314" s="14">
        <v>20000</v>
      </c>
      <c r="E314" s="14">
        <f t="shared" si="30"/>
        <v>21080</v>
      </c>
      <c r="F314" s="14">
        <f t="shared" si="29"/>
        <v>22555.600000000002</v>
      </c>
      <c r="G314" s="13" t="s">
        <v>183</v>
      </c>
      <c r="H314" s="13">
        <v>0</v>
      </c>
      <c r="I314" s="13">
        <v>0</v>
      </c>
      <c r="J314" s="13">
        <v>0</v>
      </c>
      <c r="K314" s="13" t="s">
        <v>187</v>
      </c>
      <c r="L314" s="13">
        <v>0</v>
      </c>
      <c r="M314" s="13">
        <v>0</v>
      </c>
      <c r="N314" s="19">
        <v>5.6000000000000001E-2</v>
      </c>
    </row>
    <row r="315" spans="1:14" x14ac:dyDescent="0.3">
      <c r="A315" s="13" t="s">
        <v>439</v>
      </c>
      <c r="B315" s="13" t="s">
        <v>440</v>
      </c>
      <c r="C315" s="14">
        <v>31200</v>
      </c>
      <c r="D315" s="14">
        <f t="shared" si="31"/>
        <v>32947.200000000004</v>
      </c>
      <c r="E315" s="14">
        <f t="shared" si="30"/>
        <v>34726.348800000007</v>
      </c>
      <c r="F315" s="14">
        <f t="shared" si="29"/>
        <v>37157.193216000007</v>
      </c>
      <c r="G315" s="13" t="s">
        <v>183</v>
      </c>
      <c r="H315" s="13">
        <v>0</v>
      </c>
      <c r="I315" s="13">
        <v>15000</v>
      </c>
      <c r="J315" s="13">
        <v>13043.48</v>
      </c>
      <c r="K315" s="13" t="s">
        <v>187</v>
      </c>
      <c r="L315" s="13">
        <v>18156.52</v>
      </c>
      <c r="M315" s="13">
        <v>41.8</v>
      </c>
      <c r="N315" s="19">
        <v>5.6000000000000001E-2</v>
      </c>
    </row>
    <row r="316" spans="1:14" x14ac:dyDescent="0.3">
      <c r="A316" s="13" t="s">
        <v>441</v>
      </c>
      <c r="B316" s="13" t="s">
        <v>442</v>
      </c>
      <c r="C316" s="14">
        <v>220000</v>
      </c>
      <c r="D316" s="14">
        <v>220000</v>
      </c>
      <c r="E316" s="14">
        <f t="shared" si="30"/>
        <v>231880</v>
      </c>
      <c r="F316" s="14">
        <f t="shared" si="29"/>
        <v>248111.6</v>
      </c>
      <c r="G316" s="13" t="s">
        <v>183</v>
      </c>
      <c r="H316" s="13">
        <v>0</v>
      </c>
      <c r="I316" s="13">
        <v>63339</v>
      </c>
      <c r="J316" s="13">
        <v>8817.7199999999993</v>
      </c>
      <c r="K316" s="13" t="s">
        <v>187</v>
      </c>
      <c r="L316" s="13">
        <v>211182.28</v>
      </c>
      <c r="M316" s="13">
        <v>4</v>
      </c>
      <c r="N316" s="19">
        <v>5.6000000000000001E-2</v>
      </c>
    </row>
    <row r="317" spans="1:14" x14ac:dyDescent="0.3">
      <c r="A317" s="13" t="s">
        <v>443</v>
      </c>
      <c r="B317" s="13" t="s">
        <v>444</v>
      </c>
      <c r="C317" s="14">
        <v>225000</v>
      </c>
      <c r="D317" s="14">
        <v>225000</v>
      </c>
      <c r="E317" s="14">
        <f t="shared" si="30"/>
        <v>237150</v>
      </c>
      <c r="F317" s="14">
        <f t="shared" ref="F317:F323" si="32">E317*1.07</f>
        <v>253750.50000000003</v>
      </c>
      <c r="G317" s="13" t="s">
        <v>183</v>
      </c>
      <c r="H317" s="13">
        <v>0</v>
      </c>
      <c r="I317" s="13">
        <v>0</v>
      </c>
      <c r="J317" s="13">
        <v>185035</v>
      </c>
      <c r="K317" s="13" t="s">
        <v>187</v>
      </c>
      <c r="L317" s="13">
        <v>39965</v>
      </c>
      <c r="M317" s="13">
        <v>82.23</v>
      </c>
      <c r="N317" s="19">
        <v>5.6000000000000001E-2</v>
      </c>
    </row>
    <row r="318" spans="1:14" x14ac:dyDescent="0.3">
      <c r="A318" s="13" t="s">
        <v>445</v>
      </c>
      <c r="B318" s="13" t="s">
        <v>446</v>
      </c>
      <c r="C318" s="14">
        <v>41820</v>
      </c>
      <c r="D318" s="14">
        <f t="shared" si="31"/>
        <v>44161.920000000006</v>
      </c>
      <c r="E318" s="14">
        <f t="shared" si="30"/>
        <v>46546.663680000005</v>
      </c>
      <c r="F318" s="14">
        <f t="shared" si="32"/>
        <v>49804.930137600008</v>
      </c>
      <c r="G318" s="13" t="s">
        <v>183</v>
      </c>
      <c r="H318" s="13">
        <v>0</v>
      </c>
      <c r="I318" s="13">
        <v>8400</v>
      </c>
      <c r="J318" s="13">
        <v>0</v>
      </c>
      <c r="K318" s="13" t="s">
        <v>187</v>
      </c>
      <c r="L318" s="13">
        <v>41820</v>
      </c>
      <c r="M318" s="13">
        <v>0</v>
      </c>
      <c r="N318" s="19">
        <v>5.6000000000000001E-2</v>
      </c>
    </row>
    <row r="319" spans="1:14" x14ac:dyDescent="0.3">
      <c r="A319" s="13" t="s">
        <v>447</v>
      </c>
      <c r="B319" s="13" t="s">
        <v>448</v>
      </c>
      <c r="C319" s="14">
        <v>65471</v>
      </c>
      <c r="D319" s="14">
        <v>65471</v>
      </c>
      <c r="E319" s="14">
        <f t="shared" si="30"/>
        <v>69006.434000000008</v>
      </c>
      <c r="F319" s="14">
        <f t="shared" si="32"/>
        <v>73836.884380000018</v>
      </c>
      <c r="G319" s="13" t="s">
        <v>183</v>
      </c>
      <c r="H319" s="13">
        <v>0</v>
      </c>
      <c r="I319" s="13">
        <v>0</v>
      </c>
      <c r="J319" s="13">
        <v>57651.14</v>
      </c>
      <c r="K319" s="13" t="s">
        <v>187</v>
      </c>
      <c r="L319" s="13">
        <v>7819.86</v>
      </c>
      <c r="M319" s="13">
        <v>88.05</v>
      </c>
      <c r="N319" s="19">
        <v>5.6000000000000001E-2</v>
      </c>
    </row>
    <row r="320" spans="1:14" x14ac:dyDescent="0.3">
      <c r="A320" s="13" t="s">
        <v>449</v>
      </c>
      <c r="B320" s="13" t="s">
        <v>450</v>
      </c>
      <c r="C320" s="14">
        <v>40800</v>
      </c>
      <c r="D320" s="14">
        <f t="shared" si="31"/>
        <v>43084.800000000003</v>
      </c>
      <c r="E320" s="14">
        <f t="shared" si="30"/>
        <v>45411.379200000003</v>
      </c>
      <c r="F320" s="14">
        <f t="shared" si="32"/>
        <v>48590.175744000007</v>
      </c>
      <c r="G320" s="13" t="s">
        <v>183</v>
      </c>
      <c r="H320" s="13">
        <v>0</v>
      </c>
      <c r="I320" s="13">
        <v>0</v>
      </c>
      <c r="J320" s="13">
        <v>29454.3</v>
      </c>
      <c r="K320" s="13" t="s">
        <v>187</v>
      </c>
      <c r="L320" s="13">
        <v>11345.7</v>
      </c>
      <c r="M320" s="13">
        <v>72.19</v>
      </c>
      <c r="N320" s="19">
        <v>5.6000000000000001E-2</v>
      </c>
    </row>
    <row r="321" spans="1:14" x14ac:dyDescent="0.3">
      <c r="A321" s="13" t="s">
        <v>451</v>
      </c>
      <c r="B321" s="13" t="s">
        <v>101</v>
      </c>
      <c r="C321" s="14">
        <v>454446</v>
      </c>
      <c r="D321" s="14">
        <f t="shared" si="31"/>
        <v>479894.97600000002</v>
      </c>
      <c r="E321" s="14">
        <f t="shared" si="30"/>
        <v>505809.30470400007</v>
      </c>
      <c r="F321" s="14">
        <f t="shared" si="32"/>
        <v>541215.95603328012</v>
      </c>
      <c r="G321" s="13" t="s">
        <v>183</v>
      </c>
      <c r="H321" s="13">
        <v>0</v>
      </c>
      <c r="I321" s="13">
        <v>0</v>
      </c>
      <c r="J321" s="13">
        <v>306362.92</v>
      </c>
      <c r="K321" s="13" t="s">
        <v>187</v>
      </c>
      <c r="L321" s="13">
        <v>148083.07999999999</v>
      </c>
      <c r="M321" s="13">
        <v>67.41</v>
      </c>
      <c r="N321" s="19">
        <v>5.6000000000000001E-2</v>
      </c>
    </row>
    <row r="322" spans="1:14" x14ac:dyDescent="0.3">
      <c r="A322" s="13" t="s">
        <v>452</v>
      </c>
      <c r="B322" s="13" t="s">
        <v>164</v>
      </c>
      <c r="C322" s="14">
        <v>78000</v>
      </c>
      <c r="D322" s="14">
        <v>50000</v>
      </c>
      <c r="E322" s="14">
        <f t="shared" si="30"/>
        <v>52700</v>
      </c>
      <c r="F322" s="14">
        <f t="shared" si="32"/>
        <v>56389</v>
      </c>
      <c r="G322" s="13" t="s">
        <v>183</v>
      </c>
      <c r="H322" s="13">
        <v>0</v>
      </c>
      <c r="I322" s="13">
        <v>16800</v>
      </c>
      <c r="J322" s="13">
        <v>43580.54</v>
      </c>
      <c r="K322" s="13" t="s">
        <v>187</v>
      </c>
      <c r="L322" s="13">
        <v>34419.46</v>
      </c>
      <c r="M322" s="13">
        <v>55.87</v>
      </c>
      <c r="N322" s="19">
        <v>5.6000000000000001E-2</v>
      </c>
    </row>
    <row r="323" spans="1:14" x14ac:dyDescent="0.3">
      <c r="A323" s="13" t="s">
        <v>453</v>
      </c>
      <c r="B323" s="13" t="s">
        <v>270</v>
      </c>
      <c r="C323" s="14">
        <v>50000</v>
      </c>
      <c r="D323" s="14">
        <f t="shared" si="31"/>
        <v>52800</v>
      </c>
      <c r="E323" s="14">
        <f t="shared" si="30"/>
        <v>55651.200000000004</v>
      </c>
      <c r="F323" s="14">
        <f t="shared" si="32"/>
        <v>59546.784000000007</v>
      </c>
      <c r="G323" s="13" t="s">
        <v>183</v>
      </c>
      <c r="H323" s="13">
        <v>0</v>
      </c>
      <c r="I323" s="13">
        <v>0</v>
      </c>
      <c r="J323" s="13">
        <v>46834.59</v>
      </c>
      <c r="K323" s="13" t="s">
        <v>187</v>
      </c>
      <c r="L323" s="13">
        <v>3165.41</v>
      </c>
      <c r="M323" s="13">
        <v>93.66</v>
      </c>
      <c r="N323" s="19">
        <v>5.6000000000000001E-2</v>
      </c>
    </row>
    <row r="324" spans="1:14" ht="15" thickBot="1" x14ac:dyDescent="0.35">
      <c r="C324" s="15">
        <f>SUM(C266:C323)</f>
        <v>53212223</v>
      </c>
      <c r="D324" s="15">
        <f>SUM(D266:D323)</f>
        <v>59390751.466000006</v>
      </c>
      <c r="E324" s="15">
        <f>SUM(E266:E323)</f>
        <v>63365162.908844009</v>
      </c>
      <c r="F324" s="15">
        <f>SUM(F266:F323)</f>
        <v>67800049.752463073</v>
      </c>
    </row>
    <row r="325" spans="1:14" x14ac:dyDescent="0.3">
      <c r="A325" s="16" t="s">
        <v>519</v>
      </c>
    </row>
    <row r="326" spans="1:14" x14ac:dyDescent="0.3">
      <c r="A326" s="13" t="s">
        <v>454</v>
      </c>
      <c r="B326" s="13" t="s">
        <v>455</v>
      </c>
      <c r="C326" s="14">
        <v>3952000</v>
      </c>
      <c r="D326" s="14">
        <f>C326*1.07</f>
        <v>4228640</v>
      </c>
      <c r="E326" s="14">
        <f>D326*1.07</f>
        <v>4524644.8</v>
      </c>
      <c r="F326" s="14">
        <f>E326*1.07</f>
        <v>4841369.9359999998</v>
      </c>
      <c r="G326" s="13" t="s">
        <v>183</v>
      </c>
      <c r="H326" s="13">
        <v>0</v>
      </c>
      <c r="I326" s="13">
        <v>11329.91</v>
      </c>
      <c r="J326" s="13">
        <v>2375630.12</v>
      </c>
      <c r="K326" s="13" t="s">
        <v>187</v>
      </c>
      <c r="L326" s="13">
        <v>1576369.88</v>
      </c>
      <c r="M326" s="13">
        <v>60.11</v>
      </c>
      <c r="N326" s="18">
        <v>7.0000000000000007E-2</v>
      </c>
    </row>
    <row r="327" spans="1:14" ht="15" thickBot="1" x14ac:dyDescent="0.35">
      <c r="C327" s="15">
        <f>SUM(C326)</f>
        <v>3952000</v>
      </c>
      <c r="D327" s="15">
        <f>SUM(D326)</f>
        <v>4228640</v>
      </c>
      <c r="E327" s="15">
        <f>SUM(E326)</f>
        <v>4524644.8</v>
      </c>
      <c r="F327" s="15">
        <f>SUM(F326)</f>
        <v>4841369.9359999998</v>
      </c>
    </row>
    <row r="328" spans="1:14" x14ac:dyDescent="0.3">
      <c r="A328" s="16" t="s">
        <v>520</v>
      </c>
    </row>
    <row r="329" spans="1:14" x14ac:dyDescent="0.3">
      <c r="A329" s="13" t="s">
        <v>456</v>
      </c>
      <c r="B329" s="13" t="s">
        <v>457</v>
      </c>
      <c r="C329" s="14">
        <v>100000</v>
      </c>
      <c r="D329" s="14">
        <f>C329*1.07</f>
        <v>107000</v>
      </c>
      <c r="E329" s="14">
        <f>D329*1.07</f>
        <v>114490</v>
      </c>
      <c r="F329" s="14">
        <f>E329*1.07</f>
        <v>122504.3</v>
      </c>
      <c r="G329" s="13" t="s">
        <v>183</v>
      </c>
      <c r="H329" s="13">
        <v>0</v>
      </c>
      <c r="I329" s="13">
        <v>29554</v>
      </c>
      <c r="J329" s="13">
        <v>59569.8</v>
      </c>
      <c r="K329" s="13" t="s">
        <v>187</v>
      </c>
      <c r="L329" s="13">
        <v>40430.199999999997</v>
      </c>
      <c r="M329" s="13">
        <v>59.56</v>
      </c>
      <c r="N329" s="18">
        <v>7.0000000000000007E-2</v>
      </c>
    </row>
    <row r="330" spans="1:14" x14ac:dyDescent="0.3">
      <c r="A330" s="13" t="s">
        <v>458</v>
      </c>
      <c r="B330" s="13" t="s">
        <v>7</v>
      </c>
      <c r="C330" s="14">
        <v>20309294</v>
      </c>
      <c r="D330" s="14">
        <f t="shared" ref="D330:F343" si="33">C330*1.07</f>
        <v>21730944.580000002</v>
      </c>
      <c r="E330" s="14">
        <f t="shared" si="33"/>
        <v>23252110.700600002</v>
      </c>
      <c r="F330" s="14">
        <f t="shared" si="33"/>
        <v>24879758.449642003</v>
      </c>
      <c r="G330" s="13" t="s">
        <v>183</v>
      </c>
      <c r="H330" s="13">
        <v>0</v>
      </c>
      <c r="I330" s="13">
        <v>0</v>
      </c>
      <c r="J330" s="13">
        <v>14408844.08</v>
      </c>
      <c r="K330" s="13" t="s">
        <v>187</v>
      </c>
      <c r="L330" s="13">
        <v>5900449.9199999999</v>
      </c>
      <c r="M330" s="13">
        <v>70.94</v>
      </c>
      <c r="N330" s="18">
        <v>7.0000000000000007E-2</v>
      </c>
    </row>
    <row r="331" spans="1:14" x14ac:dyDescent="0.3">
      <c r="A331" s="13" t="s">
        <v>459</v>
      </c>
      <c r="B331" s="13" t="s">
        <v>9</v>
      </c>
      <c r="C331" s="14">
        <v>483037</v>
      </c>
      <c r="D331" s="14">
        <f t="shared" si="33"/>
        <v>516849.59</v>
      </c>
      <c r="E331" s="14">
        <f t="shared" si="33"/>
        <v>553029.06130000006</v>
      </c>
      <c r="F331" s="14">
        <f t="shared" si="33"/>
        <v>591741.09559100005</v>
      </c>
      <c r="G331" s="13" t="s">
        <v>183</v>
      </c>
      <c r="H331" s="13">
        <v>0</v>
      </c>
      <c r="I331" s="13">
        <v>0</v>
      </c>
      <c r="J331" s="13">
        <v>293249.2</v>
      </c>
      <c r="K331" s="13" t="s">
        <v>187</v>
      </c>
      <c r="L331" s="13">
        <v>189787.8</v>
      </c>
      <c r="M331" s="13">
        <v>60.7</v>
      </c>
      <c r="N331" s="18">
        <v>7.0000000000000007E-2</v>
      </c>
    </row>
    <row r="332" spans="1:14" x14ac:dyDescent="0.3">
      <c r="A332" s="13" t="s">
        <v>460</v>
      </c>
      <c r="B332" s="13" t="s">
        <v>11</v>
      </c>
      <c r="C332" s="14">
        <v>68416</v>
      </c>
      <c r="D332" s="14">
        <f t="shared" si="33"/>
        <v>73205.12000000001</v>
      </c>
      <c r="E332" s="14">
        <f t="shared" si="33"/>
        <v>78329.478400000022</v>
      </c>
      <c r="F332" s="14">
        <f t="shared" si="33"/>
        <v>83812.541888000022</v>
      </c>
      <c r="G332" s="13" t="s">
        <v>183</v>
      </c>
      <c r="H332" s="13">
        <v>0</v>
      </c>
      <c r="I332" s="13">
        <v>0</v>
      </c>
      <c r="J332" s="13">
        <v>44314.25</v>
      </c>
      <c r="K332" s="13" t="s">
        <v>187</v>
      </c>
      <c r="L332" s="13">
        <v>24101.75</v>
      </c>
      <c r="M332" s="13">
        <v>64.77</v>
      </c>
      <c r="N332" s="18">
        <v>7.0000000000000007E-2</v>
      </c>
    </row>
    <row r="333" spans="1:14" x14ac:dyDescent="0.3">
      <c r="A333" s="13" t="s">
        <v>461</v>
      </c>
      <c r="B333" s="13" t="s">
        <v>13</v>
      </c>
      <c r="C333" s="14">
        <v>277503</v>
      </c>
      <c r="D333" s="14">
        <f t="shared" si="33"/>
        <v>296928.21000000002</v>
      </c>
      <c r="E333" s="14">
        <f t="shared" si="33"/>
        <v>317713.18470000004</v>
      </c>
      <c r="F333" s="14">
        <f t="shared" si="33"/>
        <v>339953.10762900009</v>
      </c>
      <c r="G333" s="13" t="s">
        <v>183</v>
      </c>
      <c r="H333" s="13">
        <v>0</v>
      </c>
      <c r="I333" s="13">
        <v>0</v>
      </c>
      <c r="J333" s="13">
        <v>0</v>
      </c>
      <c r="K333" s="13" t="s">
        <v>187</v>
      </c>
      <c r="L333" s="13">
        <v>277503</v>
      </c>
      <c r="M333" s="13">
        <v>0</v>
      </c>
      <c r="N333" s="18">
        <v>7.0000000000000007E-2</v>
      </c>
    </row>
    <row r="334" spans="1:14" x14ac:dyDescent="0.3">
      <c r="A334" s="13" t="s">
        <v>462</v>
      </c>
      <c r="B334" s="13" t="s">
        <v>15</v>
      </c>
      <c r="C334" s="14">
        <v>2493194</v>
      </c>
      <c r="D334" s="14">
        <f t="shared" si="33"/>
        <v>2667717.58</v>
      </c>
      <c r="E334" s="14">
        <f t="shared" si="33"/>
        <v>2854457.8106000004</v>
      </c>
      <c r="F334" s="14">
        <f t="shared" si="33"/>
        <v>3054269.8573420006</v>
      </c>
      <c r="G334" s="13" t="s">
        <v>183</v>
      </c>
      <c r="H334" s="13">
        <v>0</v>
      </c>
      <c r="I334" s="13">
        <v>0</v>
      </c>
      <c r="J334" s="13">
        <v>1771099.74</v>
      </c>
      <c r="K334" s="13" t="s">
        <v>187</v>
      </c>
      <c r="L334" s="13">
        <v>722094.26</v>
      </c>
      <c r="M334" s="13">
        <v>71.03</v>
      </c>
      <c r="N334" s="18">
        <v>7.0000000000000007E-2</v>
      </c>
    </row>
    <row r="335" spans="1:14" x14ac:dyDescent="0.3">
      <c r="A335" s="13" t="s">
        <v>463</v>
      </c>
      <c r="B335" s="13" t="s">
        <v>16</v>
      </c>
      <c r="C335" s="14">
        <v>13114</v>
      </c>
      <c r="D335" s="14">
        <f t="shared" si="33"/>
        <v>14031.980000000001</v>
      </c>
      <c r="E335" s="14">
        <f t="shared" si="33"/>
        <v>15014.218600000002</v>
      </c>
      <c r="F335" s="14">
        <f t="shared" si="33"/>
        <v>16065.213902000003</v>
      </c>
      <c r="G335" s="13" t="s">
        <v>183</v>
      </c>
      <c r="H335" s="13">
        <v>0</v>
      </c>
      <c r="I335" s="13">
        <v>0</v>
      </c>
      <c r="J335" s="13">
        <v>0</v>
      </c>
      <c r="K335" s="13" t="s">
        <v>187</v>
      </c>
      <c r="L335" s="13">
        <v>13114</v>
      </c>
      <c r="M335" s="13">
        <v>0</v>
      </c>
      <c r="N335" s="18">
        <v>7.0000000000000007E-2</v>
      </c>
    </row>
    <row r="336" spans="1:14" x14ac:dyDescent="0.3">
      <c r="A336" s="13" t="s">
        <v>464</v>
      </c>
      <c r="B336" s="13" t="s">
        <v>18</v>
      </c>
      <c r="C336" s="14">
        <v>54000</v>
      </c>
      <c r="D336" s="14">
        <f t="shared" si="33"/>
        <v>57780</v>
      </c>
      <c r="E336" s="14">
        <f t="shared" si="33"/>
        <v>61824.600000000006</v>
      </c>
      <c r="F336" s="14">
        <f t="shared" si="33"/>
        <v>66152.322000000015</v>
      </c>
      <c r="G336" s="13" t="s">
        <v>183</v>
      </c>
      <c r="H336" s="13">
        <v>0</v>
      </c>
      <c r="I336" s="13">
        <v>0</v>
      </c>
      <c r="J336" s="13">
        <v>34762.82</v>
      </c>
      <c r="K336" s="13" t="s">
        <v>187</v>
      </c>
      <c r="L336" s="13">
        <v>19237.18</v>
      </c>
      <c r="M336" s="13">
        <v>64.37</v>
      </c>
      <c r="N336" s="18">
        <v>7.0000000000000007E-2</v>
      </c>
    </row>
    <row r="337" spans="1:14" x14ac:dyDescent="0.3">
      <c r="A337" s="13" t="s">
        <v>465</v>
      </c>
      <c r="B337" s="13" t="s">
        <v>24</v>
      </c>
      <c r="C337" s="14">
        <v>5955</v>
      </c>
      <c r="D337" s="14">
        <f t="shared" si="33"/>
        <v>6371.85</v>
      </c>
      <c r="E337" s="14">
        <f t="shared" si="33"/>
        <v>6817.8795000000009</v>
      </c>
      <c r="F337" s="14">
        <f t="shared" si="33"/>
        <v>7295.1310650000014</v>
      </c>
      <c r="G337" s="13" t="s">
        <v>183</v>
      </c>
      <c r="H337" s="13">
        <v>0</v>
      </c>
      <c r="I337" s="13">
        <v>0</v>
      </c>
      <c r="J337" s="13">
        <v>3926.25</v>
      </c>
      <c r="K337" s="13" t="s">
        <v>187</v>
      </c>
      <c r="L337" s="13">
        <v>2028.75</v>
      </c>
      <c r="M337" s="13">
        <v>65.930000000000007</v>
      </c>
      <c r="N337" s="18">
        <v>7.0000000000000007E-2</v>
      </c>
    </row>
    <row r="338" spans="1:14" x14ac:dyDescent="0.3">
      <c r="A338" s="13" t="s">
        <v>466</v>
      </c>
      <c r="B338" s="13" t="s">
        <v>27</v>
      </c>
      <c r="C338" s="14">
        <v>157280</v>
      </c>
      <c r="D338" s="14">
        <f t="shared" si="33"/>
        <v>168289.6</v>
      </c>
      <c r="E338" s="14">
        <f t="shared" si="33"/>
        <v>180069.872</v>
      </c>
      <c r="F338" s="14">
        <f t="shared" si="33"/>
        <v>192674.76304000002</v>
      </c>
      <c r="G338" s="13" t="s">
        <v>183</v>
      </c>
      <c r="H338" s="13">
        <v>0</v>
      </c>
      <c r="I338" s="13">
        <v>0</v>
      </c>
      <c r="J338" s="13">
        <v>101802.01</v>
      </c>
      <c r="K338" s="13" t="s">
        <v>187</v>
      </c>
      <c r="L338" s="13">
        <v>55477.99</v>
      </c>
      <c r="M338" s="13">
        <v>64.72</v>
      </c>
      <c r="N338" s="18">
        <v>7.0000000000000007E-2</v>
      </c>
    </row>
    <row r="339" spans="1:14" x14ac:dyDescent="0.3">
      <c r="A339" s="13" t="s">
        <v>467</v>
      </c>
      <c r="B339" s="13" t="s">
        <v>29</v>
      </c>
      <c r="C339" s="14">
        <v>1110811</v>
      </c>
      <c r="D339" s="14">
        <f t="shared" si="33"/>
        <v>1188567.77</v>
      </c>
      <c r="E339" s="14">
        <f t="shared" si="33"/>
        <v>1271767.5139000001</v>
      </c>
      <c r="F339" s="14">
        <f t="shared" si="33"/>
        <v>1360791.2398730002</v>
      </c>
      <c r="G339" s="13" t="s">
        <v>183</v>
      </c>
      <c r="H339" s="13">
        <v>0</v>
      </c>
      <c r="I339" s="13">
        <v>0</v>
      </c>
      <c r="J339" s="13">
        <v>745477.1</v>
      </c>
      <c r="K339" s="13" t="s">
        <v>187</v>
      </c>
      <c r="L339" s="13">
        <v>365333.9</v>
      </c>
      <c r="M339" s="13">
        <v>67.11</v>
      </c>
      <c r="N339" s="18">
        <v>7.0000000000000007E-2</v>
      </c>
    </row>
    <row r="340" spans="1:14" x14ac:dyDescent="0.3">
      <c r="A340" s="13" t="s">
        <v>468</v>
      </c>
      <c r="B340" s="13" t="s">
        <v>31</v>
      </c>
      <c r="C340" s="14">
        <v>3317549</v>
      </c>
      <c r="D340" s="14">
        <f t="shared" si="33"/>
        <v>3549777.43</v>
      </c>
      <c r="E340" s="14">
        <f t="shared" si="33"/>
        <v>3798261.8501000004</v>
      </c>
      <c r="F340" s="14">
        <f t="shared" si="33"/>
        <v>4064140.1796070007</v>
      </c>
      <c r="G340" s="13" t="s">
        <v>183</v>
      </c>
      <c r="H340" s="13">
        <v>0</v>
      </c>
      <c r="I340" s="13">
        <v>0</v>
      </c>
      <c r="J340" s="13">
        <v>2192811.75</v>
      </c>
      <c r="K340" s="13" t="s">
        <v>187</v>
      </c>
      <c r="L340" s="13">
        <v>1124737.25</v>
      </c>
      <c r="M340" s="13">
        <v>66.09</v>
      </c>
      <c r="N340" s="18">
        <v>7.0000000000000007E-2</v>
      </c>
    </row>
    <row r="341" spans="1:14" x14ac:dyDescent="0.3">
      <c r="A341" s="13" t="s">
        <v>469</v>
      </c>
      <c r="B341" s="13" t="s">
        <v>33</v>
      </c>
      <c r="C341" s="14">
        <v>94425</v>
      </c>
      <c r="D341" s="14">
        <f t="shared" si="33"/>
        <v>101034.75</v>
      </c>
      <c r="E341" s="14">
        <f t="shared" si="33"/>
        <v>108107.18250000001</v>
      </c>
      <c r="F341" s="14">
        <f t="shared" si="33"/>
        <v>115674.68527500001</v>
      </c>
      <c r="G341" s="13" t="s">
        <v>183</v>
      </c>
      <c r="H341" s="13">
        <v>0</v>
      </c>
      <c r="I341" s="13">
        <v>0</v>
      </c>
      <c r="J341" s="13">
        <v>61969.68</v>
      </c>
      <c r="K341" s="13" t="s">
        <v>187</v>
      </c>
      <c r="L341" s="13">
        <v>32455.32</v>
      </c>
      <c r="M341" s="13">
        <v>65.62</v>
      </c>
      <c r="N341" s="18">
        <v>7.0000000000000007E-2</v>
      </c>
    </row>
    <row r="342" spans="1:14" x14ac:dyDescent="0.3">
      <c r="A342" s="13" t="s">
        <v>470</v>
      </c>
      <c r="B342" s="13" t="s">
        <v>35</v>
      </c>
      <c r="C342" s="14">
        <v>100000</v>
      </c>
      <c r="D342" s="14">
        <f t="shared" si="33"/>
        <v>107000</v>
      </c>
      <c r="E342" s="14">
        <f t="shared" si="33"/>
        <v>114490</v>
      </c>
      <c r="F342" s="14">
        <f t="shared" si="33"/>
        <v>122504.3</v>
      </c>
      <c r="G342" s="13" t="s">
        <v>183</v>
      </c>
      <c r="H342" s="13">
        <v>0</v>
      </c>
      <c r="I342" s="13">
        <v>0</v>
      </c>
      <c r="J342" s="13">
        <v>99772.04</v>
      </c>
      <c r="K342" s="13" t="s">
        <v>187</v>
      </c>
      <c r="L342" s="13">
        <v>227.96</v>
      </c>
      <c r="M342" s="13">
        <v>99.77</v>
      </c>
      <c r="N342" s="18">
        <v>7.0000000000000007E-2</v>
      </c>
    </row>
    <row r="343" spans="1:14" x14ac:dyDescent="0.3">
      <c r="A343" s="13" t="s">
        <v>471</v>
      </c>
      <c r="B343" s="13" t="s">
        <v>37</v>
      </c>
      <c r="C343" s="14">
        <v>65000</v>
      </c>
      <c r="D343" s="14">
        <f t="shared" si="33"/>
        <v>69550</v>
      </c>
      <c r="E343" s="14">
        <f t="shared" si="33"/>
        <v>74418.5</v>
      </c>
      <c r="F343" s="14">
        <f t="shared" si="33"/>
        <v>79627.794999999998</v>
      </c>
      <c r="G343" s="13" t="s">
        <v>183</v>
      </c>
      <c r="H343" s="13">
        <v>0</v>
      </c>
      <c r="I343" s="13">
        <v>0</v>
      </c>
      <c r="J343" s="13">
        <v>68778.87</v>
      </c>
      <c r="K343" s="13" t="s">
        <v>187</v>
      </c>
      <c r="L343" s="13">
        <v>-3778.87</v>
      </c>
      <c r="M343" s="13">
        <v>105.81</v>
      </c>
      <c r="N343" s="18">
        <v>7.0000000000000007E-2</v>
      </c>
    </row>
    <row r="344" spans="1:14" x14ac:dyDescent="0.3">
      <c r="A344" s="13" t="s">
        <v>472</v>
      </c>
      <c r="B344" s="13" t="s">
        <v>84</v>
      </c>
      <c r="C344" s="14">
        <v>2000</v>
      </c>
      <c r="D344" s="14">
        <f>C344*1.056</f>
        <v>2112</v>
      </c>
      <c r="E344" s="14">
        <f>D344*1.054</f>
        <v>2226.0480000000002</v>
      </c>
      <c r="F344" s="14">
        <f>E344*1.054</f>
        <v>2346.2545920000002</v>
      </c>
      <c r="G344" s="13" t="s">
        <v>183</v>
      </c>
      <c r="H344" s="13">
        <v>0</v>
      </c>
      <c r="I344" s="13">
        <v>1252.17</v>
      </c>
      <c r="J344" s="13">
        <v>372</v>
      </c>
      <c r="K344" s="13" t="s">
        <v>187</v>
      </c>
      <c r="L344" s="13">
        <v>1628</v>
      </c>
      <c r="M344" s="13">
        <v>18.600000000000001</v>
      </c>
      <c r="N344" s="19">
        <v>5.6000000000000001E-2</v>
      </c>
    </row>
    <row r="345" spans="1:14" x14ac:dyDescent="0.3">
      <c r="A345" s="13" t="s">
        <v>473</v>
      </c>
      <c r="B345" s="13" t="s">
        <v>474</v>
      </c>
      <c r="C345" s="14">
        <v>570000</v>
      </c>
      <c r="D345" s="14">
        <v>570000</v>
      </c>
      <c r="E345" s="14">
        <f t="shared" ref="E345:F359" si="34">D345*1.054</f>
        <v>600780</v>
      </c>
      <c r="F345" s="14">
        <f t="shared" si="34"/>
        <v>633222.12</v>
      </c>
      <c r="G345" s="13" t="s">
        <v>183</v>
      </c>
      <c r="H345" s="13">
        <v>0</v>
      </c>
      <c r="I345" s="13">
        <v>0</v>
      </c>
      <c r="J345" s="13">
        <v>46416.57</v>
      </c>
      <c r="K345" s="13" t="s">
        <v>187</v>
      </c>
      <c r="L345" s="13">
        <v>523583.43</v>
      </c>
      <c r="M345" s="13">
        <v>8.14</v>
      </c>
      <c r="N345" s="19">
        <v>5.6000000000000001E-2</v>
      </c>
    </row>
    <row r="346" spans="1:14" x14ac:dyDescent="0.3">
      <c r="A346" s="13" t="s">
        <v>475</v>
      </c>
      <c r="B346" s="13" t="s">
        <v>476</v>
      </c>
      <c r="C346" s="14">
        <v>2800000</v>
      </c>
      <c r="D346" s="14">
        <v>3256800</v>
      </c>
      <c r="E346" s="14">
        <f>50*31000</f>
        <v>1550000</v>
      </c>
      <c r="F346" s="14">
        <v>0</v>
      </c>
      <c r="G346" s="13" t="s">
        <v>183</v>
      </c>
      <c r="H346" s="13">
        <v>0</v>
      </c>
      <c r="I346" s="13">
        <v>34995.599999999999</v>
      </c>
      <c r="J346" s="13">
        <v>2129584.09</v>
      </c>
      <c r="K346" s="13" t="s">
        <v>187</v>
      </c>
      <c r="L346" s="13">
        <v>670415.91</v>
      </c>
      <c r="M346" s="13">
        <v>76.05</v>
      </c>
      <c r="N346" s="19">
        <v>5.6000000000000001E-2</v>
      </c>
    </row>
    <row r="347" spans="1:14" x14ac:dyDescent="0.3">
      <c r="A347" s="13" t="s">
        <v>477</v>
      </c>
      <c r="B347" s="13" t="s">
        <v>478</v>
      </c>
      <c r="C347" s="14">
        <v>4741680</v>
      </c>
      <c r="D347" s="14">
        <v>9285000</v>
      </c>
      <c r="E347" s="14">
        <v>0</v>
      </c>
      <c r="F347" s="14">
        <v>0</v>
      </c>
      <c r="G347" s="13" t="s">
        <v>183</v>
      </c>
      <c r="H347" s="13">
        <v>0</v>
      </c>
      <c r="I347" s="13">
        <v>21314</v>
      </c>
      <c r="J347" s="13">
        <v>3481481.11</v>
      </c>
      <c r="K347" s="13" t="s">
        <v>187</v>
      </c>
      <c r="L347" s="13">
        <v>1260198.8899999999</v>
      </c>
      <c r="M347" s="13">
        <v>73.42</v>
      </c>
      <c r="N347" s="19">
        <v>5.6000000000000001E-2</v>
      </c>
    </row>
    <row r="348" spans="1:14" x14ac:dyDescent="0.3">
      <c r="A348" s="13" t="s">
        <v>479</v>
      </c>
      <c r="B348" s="13" t="s">
        <v>480</v>
      </c>
      <c r="C348" s="14">
        <v>100000</v>
      </c>
      <c r="D348" s="14">
        <v>100000</v>
      </c>
      <c r="E348" s="14">
        <f t="shared" si="34"/>
        <v>105400</v>
      </c>
      <c r="F348" s="14">
        <f t="shared" si="34"/>
        <v>111091.6</v>
      </c>
      <c r="G348" s="13" t="s">
        <v>183</v>
      </c>
      <c r="H348" s="13">
        <v>0</v>
      </c>
      <c r="I348" s="13">
        <v>22026.400000000001</v>
      </c>
      <c r="J348" s="13">
        <v>23795.5</v>
      </c>
      <c r="K348" s="13" t="s">
        <v>187</v>
      </c>
      <c r="L348" s="13">
        <v>76204.5</v>
      </c>
      <c r="M348" s="13">
        <v>23.79</v>
      </c>
      <c r="N348" s="19">
        <v>5.6000000000000001E-2</v>
      </c>
    </row>
    <row r="349" spans="1:14" x14ac:dyDescent="0.3">
      <c r="A349" s="13" t="s">
        <v>481</v>
      </c>
      <c r="B349" s="13" t="s">
        <v>482</v>
      </c>
      <c r="C349" s="14">
        <v>1060000</v>
      </c>
      <c r="D349" s="14">
        <v>700000</v>
      </c>
      <c r="E349" s="14">
        <f t="shared" si="34"/>
        <v>737800</v>
      </c>
      <c r="F349" s="14">
        <f t="shared" si="34"/>
        <v>777641.20000000007</v>
      </c>
      <c r="G349" s="13" t="s">
        <v>183</v>
      </c>
      <c r="H349" s="13">
        <v>0</v>
      </c>
      <c r="I349" s="13">
        <v>3000</v>
      </c>
      <c r="J349" s="13">
        <v>692733.57</v>
      </c>
      <c r="K349" s="13" t="s">
        <v>187</v>
      </c>
      <c r="L349" s="13">
        <v>367266.43</v>
      </c>
      <c r="M349" s="13">
        <v>65.349999999999994</v>
      </c>
      <c r="N349" s="19">
        <v>5.6000000000000001E-2</v>
      </c>
    </row>
    <row r="350" spans="1:14" x14ac:dyDescent="0.3">
      <c r="A350" s="13" t="s">
        <v>483</v>
      </c>
      <c r="B350" s="13" t="s">
        <v>484</v>
      </c>
      <c r="C350" s="14">
        <v>1000000</v>
      </c>
      <c r="D350" s="14">
        <f t="shared" ref="D350:F360" si="35">C350*1.056</f>
        <v>1056000</v>
      </c>
      <c r="E350" s="14">
        <f t="shared" si="34"/>
        <v>1113024</v>
      </c>
      <c r="F350" s="14">
        <f t="shared" si="34"/>
        <v>1173127.2960000001</v>
      </c>
      <c r="G350" s="13" t="s">
        <v>183</v>
      </c>
      <c r="H350" s="13">
        <v>0</v>
      </c>
      <c r="I350" s="13">
        <v>132643.20000000001</v>
      </c>
      <c r="J350" s="13">
        <v>859887.11</v>
      </c>
      <c r="K350" s="13" t="s">
        <v>187</v>
      </c>
      <c r="L350" s="13">
        <v>140112.89000000001</v>
      </c>
      <c r="M350" s="13">
        <v>85.98</v>
      </c>
      <c r="N350" s="19">
        <v>5.6000000000000001E-2</v>
      </c>
    </row>
    <row r="351" spans="1:14" x14ac:dyDescent="0.3">
      <c r="A351" s="13" t="s">
        <v>485</v>
      </c>
      <c r="B351" s="13" t="s">
        <v>448</v>
      </c>
      <c r="C351" s="14">
        <v>600000</v>
      </c>
      <c r="D351" s="14">
        <v>600000</v>
      </c>
      <c r="E351" s="14">
        <f t="shared" si="34"/>
        <v>632400</v>
      </c>
      <c r="F351" s="14">
        <f t="shared" si="34"/>
        <v>666549.6</v>
      </c>
      <c r="G351" s="13" t="s">
        <v>183</v>
      </c>
      <c r="H351" s="13">
        <v>0</v>
      </c>
      <c r="I351" s="13">
        <v>14750</v>
      </c>
      <c r="J351" s="13">
        <v>457418.57</v>
      </c>
      <c r="K351" s="13" t="s">
        <v>187</v>
      </c>
      <c r="L351" s="13">
        <v>142581.43</v>
      </c>
      <c r="M351" s="13">
        <v>76.23</v>
      </c>
      <c r="N351" s="19">
        <v>5.6000000000000001E-2</v>
      </c>
    </row>
    <row r="352" spans="1:14" x14ac:dyDescent="0.3">
      <c r="A352" s="13" t="s">
        <v>486</v>
      </c>
      <c r="B352" s="13" t="s">
        <v>487</v>
      </c>
      <c r="C352" s="14">
        <v>1900000</v>
      </c>
      <c r="D352" s="14">
        <v>1600000</v>
      </c>
      <c r="E352" s="14">
        <f t="shared" si="34"/>
        <v>1686400</v>
      </c>
      <c r="F352" s="14">
        <f t="shared" si="34"/>
        <v>1777465.6</v>
      </c>
      <c r="G352" s="13" t="s">
        <v>183</v>
      </c>
      <c r="H352" s="13">
        <v>0</v>
      </c>
      <c r="I352" s="13">
        <v>0</v>
      </c>
      <c r="J352" s="13">
        <v>314612.5</v>
      </c>
      <c r="K352" s="13" t="s">
        <v>187</v>
      </c>
      <c r="L352" s="13">
        <v>1585387.5</v>
      </c>
      <c r="M352" s="13">
        <v>16.55</v>
      </c>
      <c r="N352" s="19">
        <v>5.6000000000000001E-2</v>
      </c>
    </row>
    <row r="353" spans="1:14" x14ac:dyDescent="0.3">
      <c r="A353" s="13" t="s">
        <v>488</v>
      </c>
      <c r="B353" s="13" t="s">
        <v>489</v>
      </c>
      <c r="C353" s="14">
        <v>1150000</v>
      </c>
      <c r="D353" s="14">
        <f t="shared" si="35"/>
        <v>1214400</v>
      </c>
      <c r="E353" s="14">
        <f t="shared" si="34"/>
        <v>1279977.6000000001</v>
      </c>
      <c r="F353" s="14">
        <f t="shared" si="34"/>
        <v>1349096.3904000001</v>
      </c>
      <c r="G353" s="13" t="s">
        <v>183</v>
      </c>
      <c r="H353" s="13">
        <v>0</v>
      </c>
      <c r="I353" s="13">
        <v>41415.300000000003</v>
      </c>
      <c r="J353" s="13">
        <v>871664.41</v>
      </c>
      <c r="K353" s="13" t="s">
        <v>187</v>
      </c>
      <c r="L353" s="13">
        <v>278335.59000000003</v>
      </c>
      <c r="M353" s="13">
        <v>75.790000000000006</v>
      </c>
      <c r="N353" s="19">
        <v>5.6000000000000001E-2</v>
      </c>
    </row>
    <row r="354" spans="1:14" x14ac:dyDescent="0.3">
      <c r="A354" s="13" t="s">
        <v>490</v>
      </c>
      <c r="B354" s="13" t="s">
        <v>491</v>
      </c>
      <c r="C354" s="14">
        <v>250000</v>
      </c>
      <c r="D354" s="14">
        <v>250000</v>
      </c>
      <c r="E354" s="14">
        <f t="shared" si="34"/>
        <v>263500</v>
      </c>
      <c r="F354" s="14">
        <f t="shared" si="34"/>
        <v>277729</v>
      </c>
      <c r="G354" s="13" t="s">
        <v>183</v>
      </c>
      <c r="H354" s="13">
        <v>0</v>
      </c>
      <c r="I354" s="13">
        <v>47384.54</v>
      </c>
      <c r="J354" s="13">
        <v>162128.41</v>
      </c>
      <c r="K354" s="13" t="s">
        <v>187</v>
      </c>
      <c r="L354" s="13">
        <v>87871.59</v>
      </c>
      <c r="M354" s="13">
        <v>64.849999999999994</v>
      </c>
      <c r="N354" s="19">
        <v>5.6000000000000001E-2</v>
      </c>
    </row>
    <row r="355" spans="1:14" x14ac:dyDescent="0.3">
      <c r="A355" s="13" t="s">
        <v>492</v>
      </c>
      <c r="B355" s="13" t="s">
        <v>493</v>
      </c>
      <c r="C355" s="14">
        <v>702000</v>
      </c>
      <c r="D355" s="14">
        <v>1000000</v>
      </c>
      <c r="E355" s="14">
        <f t="shared" si="34"/>
        <v>1054000</v>
      </c>
      <c r="F355" s="14">
        <f t="shared" si="34"/>
        <v>1110916</v>
      </c>
      <c r="G355" s="13" t="s">
        <v>183</v>
      </c>
      <c r="H355" s="13">
        <v>0</v>
      </c>
      <c r="I355" s="13">
        <v>0</v>
      </c>
      <c r="J355" s="13">
        <v>268556</v>
      </c>
      <c r="K355" s="13" t="s">
        <v>187</v>
      </c>
      <c r="L355" s="13">
        <v>433444</v>
      </c>
      <c r="M355" s="13">
        <v>38.25</v>
      </c>
      <c r="N355" s="19">
        <v>5.6000000000000001E-2</v>
      </c>
    </row>
    <row r="356" spans="1:14" x14ac:dyDescent="0.3">
      <c r="A356" s="13" t="s">
        <v>494</v>
      </c>
      <c r="B356" s="13" t="s">
        <v>495</v>
      </c>
      <c r="C356" s="14">
        <v>3306720</v>
      </c>
      <c r="D356" s="14">
        <v>3000000</v>
      </c>
      <c r="E356" s="14">
        <f t="shared" si="34"/>
        <v>3162000</v>
      </c>
      <c r="F356" s="14">
        <f t="shared" si="34"/>
        <v>3332748</v>
      </c>
      <c r="G356" s="13" t="s">
        <v>183</v>
      </c>
      <c r="H356" s="13">
        <v>0</v>
      </c>
      <c r="I356" s="13">
        <v>0</v>
      </c>
      <c r="J356" s="13">
        <v>3219628.38</v>
      </c>
      <c r="K356" s="13" t="s">
        <v>187</v>
      </c>
      <c r="L356" s="13">
        <v>87091.62</v>
      </c>
      <c r="M356" s="13">
        <v>97.36</v>
      </c>
      <c r="N356" s="19">
        <v>5.6000000000000001E-2</v>
      </c>
    </row>
    <row r="357" spans="1:14" x14ac:dyDescent="0.3">
      <c r="A357" s="13" t="s">
        <v>496</v>
      </c>
      <c r="B357" s="13" t="s">
        <v>497</v>
      </c>
      <c r="C357" s="14">
        <v>3565000</v>
      </c>
      <c r="D357" s="14">
        <f t="shared" si="35"/>
        <v>3764640</v>
      </c>
      <c r="E357" s="14">
        <f t="shared" si="34"/>
        <v>3967930.56</v>
      </c>
      <c r="F357" s="14">
        <f t="shared" si="34"/>
        <v>4182198.81024</v>
      </c>
      <c r="G357" s="13" t="s">
        <v>183</v>
      </c>
      <c r="H357" s="13">
        <v>0</v>
      </c>
      <c r="I357" s="13">
        <v>66167.34</v>
      </c>
      <c r="J357" s="13">
        <v>3222663.02</v>
      </c>
      <c r="K357" s="13" t="s">
        <v>187</v>
      </c>
      <c r="L357" s="13">
        <v>342336.98</v>
      </c>
      <c r="M357" s="13">
        <v>90.39</v>
      </c>
      <c r="N357" s="19">
        <v>5.6000000000000001E-2</v>
      </c>
    </row>
    <row r="358" spans="1:14" x14ac:dyDescent="0.3">
      <c r="A358" s="13" t="s">
        <v>498</v>
      </c>
      <c r="B358" s="13" t="s">
        <v>499</v>
      </c>
      <c r="C358" s="14">
        <v>192000</v>
      </c>
      <c r="D358" s="14">
        <f t="shared" si="35"/>
        <v>202752</v>
      </c>
      <c r="E358" s="14">
        <f t="shared" si="34"/>
        <v>213700.60800000001</v>
      </c>
      <c r="F358" s="14">
        <f t="shared" si="34"/>
        <v>225240.44083200002</v>
      </c>
      <c r="G358" s="13" t="s">
        <v>183</v>
      </c>
      <c r="H358" s="13">
        <v>0</v>
      </c>
      <c r="I358" s="13">
        <v>0</v>
      </c>
      <c r="J358" s="13">
        <v>104548.82</v>
      </c>
      <c r="K358" s="13" t="s">
        <v>187</v>
      </c>
      <c r="L358" s="13">
        <v>87451.18</v>
      </c>
      <c r="M358" s="13">
        <v>54.45</v>
      </c>
      <c r="N358" s="19">
        <v>5.6000000000000001E-2</v>
      </c>
    </row>
    <row r="359" spans="1:14" x14ac:dyDescent="0.3">
      <c r="A359" s="13" t="s">
        <v>500</v>
      </c>
      <c r="B359" s="13" t="s">
        <v>501</v>
      </c>
      <c r="C359" s="14">
        <v>50000</v>
      </c>
      <c r="D359" s="14">
        <v>0</v>
      </c>
      <c r="E359" s="14">
        <f t="shared" si="34"/>
        <v>0</v>
      </c>
      <c r="F359" s="14">
        <f t="shared" si="34"/>
        <v>0</v>
      </c>
      <c r="G359" s="13" t="s">
        <v>183</v>
      </c>
      <c r="H359" s="13">
        <v>0</v>
      </c>
      <c r="I359" s="13">
        <v>0</v>
      </c>
      <c r="J359" s="13">
        <v>24921</v>
      </c>
      <c r="K359" s="13" t="s">
        <v>187</v>
      </c>
      <c r="L359" s="13">
        <v>25079</v>
      </c>
      <c r="M359" s="13">
        <v>49.84</v>
      </c>
      <c r="N359" s="19">
        <v>5.6000000000000001E-2</v>
      </c>
    </row>
    <row r="360" spans="1:14" x14ac:dyDescent="0.3">
      <c r="A360" s="13" t="s">
        <v>502</v>
      </c>
      <c r="B360" s="13" t="s">
        <v>101</v>
      </c>
      <c r="C360" s="14">
        <v>276659</v>
      </c>
      <c r="D360" s="14">
        <f t="shared" si="35"/>
        <v>292151.90400000004</v>
      </c>
      <c r="E360" s="14">
        <f t="shared" si="35"/>
        <v>308512.41062400007</v>
      </c>
      <c r="F360" s="14">
        <f t="shared" si="35"/>
        <v>325789.1056189441</v>
      </c>
      <c r="G360" s="13" t="s">
        <v>183</v>
      </c>
      <c r="H360" s="13">
        <v>0</v>
      </c>
      <c r="I360" s="13">
        <v>0</v>
      </c>
      <c r="J360" s="13">
        <v>206857.51</v>
      </c>
      <c r="K360" s="13" t="s">
        <v>187</v>
      </c>
      <c r="L360" s="13">
        <v>69801.490000000005</v>
      </c>
      <c r="M360" s="13">
        <v>74.760000000000005</v>
      </c>
      <c r="N360" s="19">
        <v>5.6000000000000001E-2</v>
      </c>
    </row>
    <row r="361" spans="1:14" x14ac:dyDescent="0.3">
      <c r="A361" s="13" t="s">
        <v>503</v>
      </c>
      <c r="B361" s="13" t="s">
        <v>504</v>
      </c>
      <c r="C361" s="14">
        <v>200000</v>
      </c>
      <c r="D361" s="14">
        <v>500000</v>
      </c>
      <c r="E361" s="14">
        <v>1000000</v>
      </c>
      <c r="F361" s="14">
        <f t="shared" ref="E361:F367" si="36">E361*1.054</f>
        <v>1054000</v>
      </c>
      <c r="G361" s="13" t="s">
        <v>183</v>
      </c>
      <c r="H361" s="13">
        <v>0</v>
      </c>
      <c r="I361" s="13">
        <v>0</v>
      </c>
      <c r="J361" s="13">
        <v>199999.8</v>
      </c>
      <c r="K361" s="13" t="s">
        <v>187</v>
      </c>
      <c r="L361" s="13">
        <v>0.2</v>
      </c>
      <c r="M361" s="13">
        <v>99.99</v>
      </c>
      <c r="N361" s="19">
        <v>5.6000000000000001E-2</v>
      </c>
    </row>
    <row r="362" spans="1:14" x14ac:dyDescent="0.3">
      <c r="A362" s="13" t="s">
        <v>505</v>
      </c>
      <c r="B362" s="13" t="s">
        <v>164</v>
      </c>
      <c r="C362" s="14">
        <v>158000</v>
      </c>
      <c r="D362" s="14">
        <v>150000</v>
      </c>
      <c r="E362" s="14">
        <f t="shared" si="36"/>
        <v>158100</v>
      </c>
      <c r="F362" s="14">
        <f t="shared" si="36"/>
        <v>166637.4</v>
      </c>
      <c r="G362" s="13" t="s">
        <v>183</v>
      </c>
      <c r="H362" s="13">
        <v>0</v>
      </c>
      <c r="I362" s="13">
        <v>41987.7</v>
      </c>
      <c r="J362" s="13">
        <v>86611.71</v>
      </c>
      <c r="K362" s="13" t="s">
        <v>187</v>
      </c>
      <c r="L362" s="13">
        <v>71388.289999999994</v>
      </c>
      <c r="M362" s="13">
        <v>54.81</v>
      </c>
      <c r="N362" s="19">
        <v>5.6000000000000001E-2</v>
      </c>
    </row>
    <row r="363" spans="1:14" x14ac:dyDescent="0.3">
      <c r="A363" s="13" t="s">
        <v>506</v>
      </c>
      <c r="B363" s="13" t="s">
        <v>507</v>
      </c>
      <c r="C363" s="14">
        <v>50235951</v>
      </c>
      <c r="D363" s="14">
        <v>53300000</v>
      </c>
      <c r="E363" s="14">
        <f t="shared" si="36"/>
        <v>56178200</v>
      </c>
      <c r="F363" s="14">
        <v>40000000</v>
      </c>
      <c r="G363" s="13" t="s">
        <v>183</v>
      </c>
      <c r="H363" s="13">
        <v>0</v>
      </c>
      <c r="I363" s="13">
        <v>42671.040000000001</v>
      </c>
      <c r="J363" s="13">
        <v>29737312.27</v>
      </c>
      <c r="K363" s="13" t="s">
        <v>187</v>
      </c>
      <c r="L363" s="13">
        <v>20498638.73</v>
      </c>
      <c r="M363" s="13">
        <v>59.19</v>
      </c>
      <c r="N363" s="19">
        <v>5.6000000000000001E-2</v>
      </c>
    </row>
    <row r="364" spans="1:14" x14ac:dyDescent="0.3">
      <c r="A364" s="13" t="s">
        <v>508</v>
      </c>
      <c r="B364" s="13" t="s">
        <v>342</v>
      </c>
      <c r="C364" s="14">
        <v>6600000</v>
      </c>
      <c r="D364" s="14">
        <v>7000000</v>
      </c>
      <c r="E364" s="14">
        <f t="shared" si="36"/>
        <v>7378000</v>
      </c>
      <c r="F364" s="14">
        <f t="shared" si="36"/>
        <v>7776412</v>
      </c>
      <c r="G364" s="13" t="s">
        <v>183</v>
      </c>
      <c r="H364" s="13">
        <v>0</v>
      </c>
      <c r="I364" s="13">
        <v>0</v>
      </c>
      <c r="J364" s="13">
        <v>7465137.7000000002</v>
      </c>
      <c r="K364" s="13" t="s">
        <v>187</v>
      </c>
      <c r="L364" s="13">
        <v>-865137.7</v>
      </c>
      <c r="M364" s="13">
        <v>113.1</v>
      </c>
      <c r="N364" s="19">
        <v>5.6000000000000001E-2</v>
      </c>
    </row>
    <row r="365" spans="1:14" x14ac:dyDescent="0.3">
      <c r="A365" s="13" t="s">
        <v>509</v>
      </c>
      <c r="B365" s="13" t="s">
        <v>270</v>
      </c>
      <c r="C365" s="14">
        <v>100000</v>
      </c>
      <c r="D365" s="14">
        <v>100000</v>
      </c>
      <c r="E365" s="14">
        <f t="shared" si="36"/>
        <v>105400</v>
      </c>
      <c r="F365" s="14">
        <f t="shared" si="36"/>
        <v>111091.6</v>
      </c>
      <c r="G365" s="13" t="s">
        <v>183</v>
      </c>
      <c r="H365" s="13">
        <v>0</v>
      </c>
      <c r="I365" s="13">
        <v>0</v>
      </c>
      <c r="J365" s="13">
        <v>49802.37</v>
      </c>
      <c r="K365" s="13" t="s">
        <v>187</v>
      </c>
      <c r="L365" s="13">
        <v>50197.63</v>
      </c>
      <c r="M365" s="13">
        <v>49.8</v>
      </c>
      <c r="N365" s="19">
        <v>5.6000000000000001E-2</v>
      </c>
    </row>
    <row r="366" spans="1:14" x14ac:dyDescent="0.3">
      <c r="A366" s="13" t="s">
        <v>510</v>
      </c>
      <c r="B366" s="13" t="s">
        <v>511</v>
      </c>
      <c r="C366" s="14">
        <v>2400000</v>
      </c>
      <c r="D366" s="14">
        <v>2400000</v>
      </c>
      <c r="E366" s="14">
        <f t="shared" si="36"/>
        <v>2529600</v>
      </c>
      <c r="F366" s="14">
        <f t="shared" si="36"/>
        <v>2666198.4</v>
      </c>
      <c r="G366" s="13" t="s">
        <v>183</v>
      </c>
      <c r="H366" s="13">
        <v>0</v>
      </c>
      <c r="I366" s="13">
        <v>28500</v>
      </c>
      <c r="J366" s="13">
        <v>1450164.58</v>
      </c>
      <c r="K366" s="13" t="s">
        <v>187</v>
      </c>
      <c r="L366" s="13">
        <v>949835.42</v>
      </c>
      <c r="M366" s="13">
        <v>60.42</v>
      </c>
      <c r="N366" s="19">
        <v>5.6000000000000001E-2</v>
      </c>
    </row>
    <row r="367" spans="1:14" x14ac:dyDescent="0.3">
      <c r="A367" s="13" t="s">
        <v>512</v>
      </c>
      <c r="B367" s="13" t="s">
        <v>513</v>
      </c>
      <c r="C367" s="14">
        <v>7000000</v>
      </c>
      <c r="D367" s="14">
        <v>9600000</v>
      </c>
      <c r="E367" s="14">
        <f t="shared" si="36"/>
        <v>10118400</v>
      </c>
      <c r="F367" s="14">
        <f t="shared" si="36"/>
        <v>10664793.6</v>
      </c>
      <c r="G367" s="13" t="s">
        <v>183</v>
      </c>
      <c r="H367" s="13">
        <v>0</v>
      </c>
      <c r="I367" s="13">
        <v>54571</v>
      </c>
      <c r="J367" s="13">
        <v>5603310.5099999998</v>
      </c>
      <c r="K367" s="13" t="s">
        <v>187</v>
      </c>
      <c r="L367" s="13">
        <v>1396689.49</v>
      </c>
      <c r="M367" s="13">
        <v>80.040000000000006</v>
      </c>
      <c r="N367" s="19">
        <v>5.6000000000000001E-2</v>
      </c>
    </row>
    <row r="368" spans="1:14" ht="15" thickBot="1" x14ac:dyDescent="0.35">
      <c r="C368" s="15">
        <f>SUM(C329:C367)</f>
        <v>117609588</v>
      </c>
      <c r="D368" s="15">
        <f>SUM(D329:D367)</f>
        <v>130598904.36400001</v>
      </c>
      <c r="E368" s="15">
        <f>SUM(E329:E367)</f>
        <v>126946253.07882401</v>
      </c>
      <c r="F368" s="15">
        <f>SUM(F329:F367)</f>
        <v>113481259.39953695</v>
      </c>
    </row>
  </sheetData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Capexx</vt:lpstr>
      <vt:lpstr>Opex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Mathung Matlala</dc:creator>
  <cp:lastModifiedBy>Mathung Matlala</cp:lastModifiedBy>
  <dcterms:created xsi:type="dcterms:W3CDTF">2019-03-13T10:23:41Z</dcterms:created>
  <dcterms:modified xsi:type="dcterms:W3CDTF">2019-03-21T08:24:35Z</dcterms:modified>
</cp:coreProperties>
</file>